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D:\Repositorio\Informes\"/>
    </mc:Choice>
  </mc:AlternateContent>
  <xr:revisionPtr revIDLastSave="0" documentId="13_ncr:1_{FE0FFB94-D969-4426-8188-C4C5B546FFBA}" xr6:coauthVersionLast="47" xr6:coauthVersionMax="47" xr10:uidLastSave="{00000000-0000-0000-0000-000000000000}"/>
  <bookViews>
    <workbookView xWindow="-108" yWindow="-108" windowWidth="23256" windowHeight="12456" tabRatio="799" firstSheet="10"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OCTUBRE"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VAL AMP 4 PN" sheetId="125" r:id="rId31"/>
    <sheet name="VAL AMP4 MM" sheetId="123" r:id="rId32"/>
    <sheet name="ABRIL " sheetId="85" state="hidden" r:id="rId33"/>
    <sheet name="Hoja14" sheetId="86" state="hidden" r:id="rId34"/>
    <sheet name="MET.ADIC" sheetId="45" state="hidden" r:id="rId35"/>
    <sheet name="MET.EXP" sheetId="46" state="hidden" r:id="rId36"/>
    <sheet name="CRON" sheetId="50" state="hidden" r:id="rId37"/>
    <sheet name="gantt (2)" sheetId="48" state="hidden"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0">'[2]#¡REF'!#REF!</definedName>
    <definedName name="_107_0ELSURE" localSheetId="31">'[2]#¡REF'!#REF!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0">'[2]#¡REF'!#REF!</definedName>
    <definedName name="_108_0ELSURE" localSheetId="31">'[2]#¡REF'!#REF!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0">'[2]#¡REF'!#REF!</definedName>
    <definedName name="_11_0EL" localSheetId="31">'[2]#¡REF'!#REF!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0">'[2]#¡REF'!#REF!</definedName>
    <definedName name="_119_0HIDRAND" localSheetId="31">'[2]#¡REF'!#REF!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0">'[2]#¡REF'!#REF!</definedName>
    <definedName name="_12_0EL" localSheetId="31">'[2]#¡REF'!#REF!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0">'[2]#¡REF'!#REF!</definedName>
    <definedName name="_120_0HIDRAND" localSheetId="31">'[2]#¡REF'!#REF!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0">'[2]#¡REF'!#REF!</definedName>
    <definedName name="_131_0S" localSheetId="31">'[2]#¡REF'!#REF!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0">'[2]#¡REF'!#REF!</definedName>
    <definedName name="_132_0S" localSheetId="31">'[2]#¡REF'!#REF!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0">'[2]#¡REF'!#REF!</definedName>
    <definedName name="_23_0ELCEN" localSheetId="31">'[2]#¡REF'!#REF!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0">'[2]#¡REF'!#REF!</definedName>
    <definedName name="_24_0ELCEN" localSheetId="31">'[2]#¡REF'!#REF!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0">'[2]#¡REF'!#REF!</definedName>
    <definedName name="_35_0ELECSURE" localSheetId="31">'[2]#¡REF'!#REF!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0">'[2]#¡REF'!#REF!</definedName>
    <definedName name="_36_0ELECSURE" localSheetId="31">'[2]#¡REF'!#REF!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1">'[3]#¡REF'!#REF!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0">'[2]#¡REF'!#REF!</definedName>
    <definedName name="_47_0ELECSURME" localSheetId="31">'[2]#¡REF'!#REF!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0">'[2]#¡REF'!#REF!</definedName>
    <definedName name="_48_0ELECSURME" localSheetId="31">'[2]#¡REF'!#REF!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0">'[2]#¡REF'!#REF!</definedName>
    <definedName name="_59_0ELECT" localSheetId="31">'[2]#¡REF'!#REF!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0">'[2]#¡REF'!#REF!</definedName>
    <definedName name="_60_0ELECT" localSheetId="31">'[2]#¡REF'!#REF!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0">'[2]#¡REF'!#REF!</definedName>
    <definedName name="_71_0ELECTROL" localSheetId="31">'[2]#¡REF'!#REF!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0">'[2]#¡REF'!#REF!</definedName>
    <definedName name="_72_0ELECTROL" localSheetId="31">'[2]#¡REF'!#REF!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0">'[2]#¡REF'!#REF!</definedName>
    <definedName name="_83_0ELEORIE" localSheetId="31">'[2]#¡REF'!#REF!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0">'[2]#¡REF'!#REF!</definedName>
    <definedName name="_84_0ELEORIE" localSheetId="31">'[2]#¡REF'!#REF!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0">'[2]#¡REF'!#REF!</definedName>
    <definedName name="_95_0ELNO" localSheetId="31">'[2]#¡REF'!#REF!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0">'[2]#¡REF'!#REF!</definedName>
    <definedName name="_96_0ELNO" localSheetId="31">'[2]#¡REF'!#REF!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1">'[2]#¡REF'!#REF!</definedName>
    <definedName name="_98">'[2]#¡REF'!#REF!</definedName>
    <definedName name="_A" localSheetId="13">'[2]#¡REF'!#REF!</definedName>
    <definedName name="_A" localSheetId="9">'[2]#¡REF'!#REF!</definedName>
    <definedName name="_A" localSheetId="12">'[2]#¡REF'!#REF!</definedName>
    <definedName name="_A" localSheetId="31">'[2]#¡REF'!#REF!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6" hidden="1">CRON!$A$1:$N$168</definedName>
    <definedName name="_xlnm._FilterDatabase" localSheetId="34" hidden="1">MET.ADIC!$A$13:$K$66</definedName>
    <definedName name="_xlnm._FilterDatabase" localSheetId="28" hidden="1">'VAL AMP 3'!$L$1:$L$98</definedName>
    <definedName name="_xlnm._FilterDatabase" localSheetId="30" hidden="1">'VAL AMP 4 PN'!$C$1:$C$214</definedName>
    <definedName name="_xlnm._FilterDatabase" localSheetId="31" hidden="1">'VAL AMP4 MM'!$C$1:$C$283</definedName>
    <definedName name="_xlnm._FilterDatabase" localSheetId="27" hidden="1">'VAL. AMP.2 COVID'!$A$14:$S$39</definedName>
    <definedName name="_xlnm._FilterDatabase" localSheetId="29" hidden="1">'VAL. PRINC'!$U$1:$U$143</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0">'[2]#¡REF'!#REF!</definedName>
    <definedName name="_j" localSheetId="31">'[2]#¡REF'!#REF!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0">'[2]#¡REF'!#REF!</definedName>
    <definedName name="A" localSheetId="31">'[2]#¡REF'!#REF!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0">#REF!</definedName>
    <definedName name="AB" localSheetId="31">#REF!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0">'[6]#¡REF'!#REF!</definedName>
    <definedName name="ABC" localSheetId="31">'[6]#¡REF'!#REF!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0">'[3]#¡REF'!#REF!</definedName>
    <definedName name="ADV" localSheetId="31">'[3]#¡REF'!#REF!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0">#REF!</definedName>
    <definedName name="AGO" localSheetId="31">#REF!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0">#REF!</definedName>
    <definedName name="_xlnm.Extract" localSheetId="31">#REF!</definedName>
    <definedName name="_xlnm.Extract" localSheetId="27">#REF!</definedName>
    <definedName name="_xlnm.Extract">#REF!</definedName>
    <definedName name="_xlnm.Print_Area" localSheetId="36">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MAR'!$A$1:$AO$195</definedName>
    <definedName name="_xlnm.Print_Area" localSheetId="37">'gantt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4">MET.ADIC!$A$1:$K$67</definedName>
    <definedName name="_xlnm.Print_Area" localSheetId="35">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PN'!$B$1:$G$262</definedName>
    <definedName name="_xlnm.Print_Area" localSheetId="24">'P.NUEVAS PROYECTADAS'!$A$1:$AI$66</definedName>
    <definedName name="_xlnm.Print_Area" localSheetId="9">'PARTIDAS EJEC. OCTUBRE'!$B$1:$G$846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0">'VAL AMP 4 PN'!$B$1:$S$197</definedName>
    <definedName name="_xlnm.Print_Area" localSheetId="31">'VAL AMP4 MM'!$B$1:$S$262</definedName>
    <definedName name="_xlnm.Print_Area" localSheetId="27">'VAL. AMP.2 COVID'!$B$1:$S$56</definedName>
    <definedName name="_xlnm.Print_Area" localSheetId="29">'VAL. PRINC'!$A$1:$AB$118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0">'[2]#¡REF'!#REF!</definedName>
    <definedName name="b" localSheetId="31">'[2]#¡REF'!#REF!</definedName>
    <definedName name="b" localSheetId="27">'[2]#¡REF'!#REF!</definedName>
    <definedName name="b">'[2]#¡REF'!#REF!</definedName>
    <definedName name="Base_datos_IM">[4]MATERIAL!$Q$10:$R$40</definedName>
    <definedName name="_xlnm.Database" localSheetId="13">#REF!</definedName>
    <definedName name="_xlnm.Database" localSheetId="37">#REF!</definedName>
    <definedName name="_xlnm.Database" localSheetId="34">#REF!</definedName>
    <definedName name="_xlnm.Database" localSheetId="35">#REF!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0">#REF!</definedName>
    <definedName name="_xlnm.Database" localSheetId="31">#REF!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0">#REF!</definedName>
    <definedName name="BLOQUE01" localSheetId="31">#REF!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1">[10]NTM!#REF!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0">#REF!</definedName>
    <definedName name="_xlnm.Criteria" localSheetId="31">#REF!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0">#REF!</definedName>
    <definedName name="DESCRIPCION" localSheetId="31">#REF!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0">#REF!</definedName>
    <definedName name="DIC" localSheetId="31">#REF!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0">#REF!</definedName>
    <definedName name="ENE" localSheetId="31">#REF!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0">#REF!</definedName>
    <definedName name="FEB" localSheetId="31">#REF!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1">#REF!</definedName>
    <definedName name="FEB0_7">#REF!</definedName>
    <definedName name="FHS6HJ6J" localSheetId="13">'[2]#¡REF'!#REF!</definedName>
    <definedName name="FHS6HJ6J" localSheetId="9">'[2]#¡REF'!#REF!</definedName>
    <definedName name="FHS6HJ6J" localSheetId="12">'[2]#¡REF'!#REF!</definedName>
    <definedName name="FHS6HJ6J" localSheetId="31">'[2]#¡REF'!#REF!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0">'[2]#¡REF'!#REF!</definedName>
    <definedName name="hhh" localSheetId="31">'[2]#¡REF'!#REF!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1">'[2]#¡REF'!#REF!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0">#REF!</definedName>
    <definedName name="INDICE" localSheetId="31">#REF!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0">#REF!</definedName>
    <definedName name="IU" localSheetId="31">#REF!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0">#REF!</definedName>
    <definedName name="JUL" localSheetId="31">#REF!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0">#REF!</definedName>
    <definedName name="JUN" localSheetId="31">#REF!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0">'[2]#¡REF'!#REF!</definedName>
    <definedName name="k" localSheetId="31">'[2]#¡REF'!#REF!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1">[10]NTM!#REF!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0">#REF!</definedName>
    <definedName name="MAR" localSheetId="31">#REF!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0">#REF!</definedName>
    <definedName name="MAY" localSheetId="31">#REF!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0">#REF!</definedName>
    <definedName name="meses" localSheetId="31">#REF!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0">'[3]#¡REF'!#REF!</definedName>
    <definedName name="MNP" localSheetId="31">'[3]#¡REF'!#REF!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0">#REF!</definedName>
    <definedName name="NOB" localSheetId="31">#REF!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0">#REF!</definedName>
    <definedName name="OCT" localSheetId="31">#REF!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0">[22]Hoja4!#REF!</definedName>
    <definedName name="ope" localSheetId="31">[22]Hoja4!#REF!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0">#REF!</definedName>
    <definedName name="PARTIDA" localSheetId="31">#REF!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0">'[2]#¡REF'!#REF!</definedName>
    <definedName name="qsdxs" localSheetId="31">'[2]#¡REF'!#REF!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0">'[2]#¡REF'!#REF!</definedName>
    <definedName name="qsqns" localSheetId="31">'[2]#¡REF'!#REF!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0">#REF!</definedName>
    <definedName name="QWE" localSheetId="31">#REF!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0">#REF!</definedName>
    <definedName name="REVISAR" localSheetId="31">#REF!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0">#REF!</definedName>
    <definedName name="REVISAR1" localSheetId="31">#REF!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0">#REF!</definedName>
    <definedName name="SET" localSheetId="31">#REF!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0">#REF!</definedName>
    <definedName name="TABLA" localSheetId="31">#REF!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6">CRON!$6:$19</definedName>
    <definedName name="_xlnm.Print_Titles" localSheetId="34">MET.ADIC!$1:$10</definedName>
    <definedName name="_xlnm.Print_Titles" localSheetId="35">MET.EXP!$1:$7</definedName>
    <definedName name="_xlnm.Print_Titles" localSheetId="9">'PARTIDAS EJEC. OCTUBRE'!$6:$9</definedName>
    <definedName name="_xlnm.Print_Titles" localSheetId="28">'VAL AMP 3'!$1:$13</definedName>
    <definedName name="_xlnm.Print_Titles" localSheetId="30">'VAL AMP 4 PN'!$1:$14</definedName>
    <definedName name="_xlnm.Print_Titles" localSheetId="31">'VAL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0">#REF!</definedName>
    <definedName name="UND." localSheetId="31">#REF!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0">'[2]#¡REF'!#REF!</definedName>
    <definedName name="w" localSheetId="31">'[2]#¡REF'!#REF!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0"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18" i="72" l="1"/>
  <c r="AN118" i="72"/>
  <c r="AA4" i="72"/>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18"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1" i="133"/>
  <c r="F112"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6" i="131"/>
  <c r="F488" i="131"/>
  <c r="F489" i="131"/>
  <c r="F490" i="131"/>
  <c r="F491" i="131"/>
  <c r="F492" i="131"/>
  <c r="F493" i="131"/>
  <c r="F494" i="131"/>
  <c r="F495" i="131"/>
  <c r="F497" i="131"/>
  <c r="F498" i="131"/>
  <c r="F499" i="131"/>
  <c r="F500" i="131"/>
  <c r="F501" i="131"/>
  <c r="F502" i="131"/>
  <c r="F503" i="131"/>
  <c r="F504" i="131"/>
  <c r="F505" i="131"/>
  <c r="F506" i="131"/>
  <c r="F507" i="131"/>
  <c r="F508" i="131"/>
  <c r="F509"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4" i="131"/>
  <c r="F596" i="131"/>
  <c r="F599" i="131"/>
  <c r="F611" i="131"/>
  <c r="F612" i="131"/>
  <c r="F613" i="131"/>
  <c r="F614"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1"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693" i="131"/>
  <c r="F694" i="131"/>
  <c r="F695" i="131"/>
  <c r="F698" i="131"/>
  <c r="F699" i="131"/>
  <c r="F700" i="131"/>
  <c r="F701" i="131"/>
  <c r="F702" i="131"/>
  <c r="F703" i="131"/>
  <c r="F704" i="131"/>
  <c r="F705" i="131"/>
  <c r="F706" i="131"/>
  <c r="F707" i="131"/>
  <c r="F708" i="131"/>
  <c r="F712" i="131"/>
  <c r="F714" i="131"/>
  <c r="F715" i="131"/>
  <c r="F720" i="131"/>
  <c r="F722" i="131"/>
  <c r="F723"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6" i="131"/>
  <c r="F787" i="131"/>
  <c r="F788" i="131"/>
  <c r="F789" i="131"/>
  <c r="F790" i="131"/>
  <c r="F791" i="131"/>
  <c r="F792" i="131"/>
  <c r="F793" i="131"/>
  <c r="F794" i="131"/>
  <c r="F795" i="131"/>
  <c r="F800" i="131"/>
  <c r="F801" i="131"/>
  <c r="S141" i="118"/>
  <c r="L141" i="118"/>
  <c r="AR131" i="118"/>
  <c r="AS131" i="118"/>
  <c r="AT131" i="118"/>
  <c r="R135" i="118"/>
  <c r="R134" i="118"/>
  <c r="R133" i="118"/>
  <c r="R132" i="118"/>
  <c r="R131" i="118"/>
  <c r="O133" i="118"/>
  <c r="O135" i="118"/>
  <c r="O134" i="118"/>
  <c r="O132" i="118"/>
  <c r="O131" i="118"/>
  <c r="L135" i="118"/>
  <c r="L134" i="118"/>
  <c r="L133" i="118"/>
  <c r="L132" i="118"/>
  <c r="L131" i="118"/>
  <c r="I131" i="118"/>
  <c r="L124" i="118"/>
  <c r="X131" i="118" l="1"/>
  <c r="O136" i="118"/>
  <c r="R136" i="118"/>
  <c r="AQ132" i="118" s="1"/>
  <c r="S117" i="118" l="1"/>
  <c r="L117" i="118"/>
  <c r="L251" i="123" l="1"/>
  <c r="F244" i="133" s="1"/>
  <c r="L244" i="123"/>
  <c r="F237" i="133" s="1"/>
  <c r="L242" i="123"/>
  <c r="F235" i="133" s="1"/>
  <c r="L243" i="123"/>
  <c r="F236" i="133" s="1"/>
  <c r="L212" i="123"/>
  <c r="F205" i="133" s="1"/>
  <c r="F717" i="131"/>
  <c r="F711" i="131"/>
  <c r="F697" i="131"/>
  <c r="F675" i="131"/>
  <c r="F638" i="131"/>
  <c r="F609" i="131"/>
  <c r="F608" i="131"/>
  <c r="F606" i="131"/>
  <c r="F605" i="131"/>
  <c r="F604" i="131"/>
  <c r="F603" i="131"/>
  <c r="F602" i="131"/>
  <c r="F598" i="131" l="1"/>
  <c r="F592" i="131"/>
  <c r="F591" i="131"/>
  <c r="F583" i="131"/>
  <c r="F575" i="131"/>
  <c r="F570" i="131"/>
  <c r="F569" i="131"/>
  <c r="F562" i="131"/>
  <c r="F540" i="131"/>
  <c r="F534" i="131"/>
  <c r="F533" i="131"/>
  <c r="F530" i="131"/>
  <c r="F529" i="131"/>
  <c r="F527" i="131"/>
  <c r="F496" i="131"/>
  <c r="F480" i="131"/>
  <c r="L25" i="125" l="1"/>
  <c r="F16" i="134" s="1"/>
  <c r="L24" i="125"/>
  <c r="F15" i="134" s="1"/>
  <c r="L23" i="125"/>
  <c r="F14" i="134" s="1"/>
  <c r="L42" i="123"/>
  <c r="F35" i="133" s="1"/>
  <c r="L35" i="123"/>
  <c r="F28" i="133" s="1"/>
  <c r="L34" i="123"/>
  <c r="F27" i="133" s="1"/>
  <c r="F113" i="131"/>
  <c r="F86" i="131"/>
  <c r="F80" i="131"/>
  <c r="F26" i="131"/>
  <c r="F12" i="131"/>
  <c r="F405" i="131" l="1"/>
  <c r="L169" i="125"/>
  <c r="F160" i="134" s="1"/>
  <c r="L156" i="125"/>
  <c r="F147" i="134" s="1"/>
  <c r="L155" i="125"/>
  <c r="F146" i="134" s="1"/>
  <c r="L105" i="123"/>
  <c r="F98" i="133" s="1"/>
  <c r="F427" i="131"/>
  <c r="F346" i="131"/>
  <c r="F343" i="131"/>
  <c r="F312" i="131"/>
  <c r="F301" i="131"/>
  <c r="F285" i="131"/>
  <c r="F280" i="131"/>
  <c r="F292" i="131" l="1"/>
  <c r="F380" i="131" l="1"/>
  <c r="F326" i="131" l="1"/>
  <c r="F279" i="131" l="1"/>
  <c r="F302" i="131" l="1"/>
  <c r="F322" i="131" l="1"/>
  <c r="L162" i="125" l="1"/>
  <c r="F153" i="134" s="1"/>
  <c r="L124" i="123" l="1"/>
  <c r="F117" i="133" s="1"/>
  <c r="L165" i="125"/>
  <c r="F156" i="134" s="1"/>
  <c r="L122" i="123" l="1"/>
  <c r="F115" i="133" s="1"/>
  <c r="L113" i="123" l="1"/>
  <c r="F106" i="133" s="1"/>
  <c r="F303" i="131" l="1"/>
  <c r="L181" i="125" l="1"/>
  <c r="F172" i="134" s="1"/>
  <c r="L178" i="125"/>
  <c r="F169" i="134" s="1"/>
  <c r="F289" i="131" l="1"/>
  <c r="L179" i="125"/>
  <c r="F170" i="134" s="1"/>
  <c r="L177" i="125"/>
  <c r="F168" i="134" s="1"/>
  <c r="L180" i="125"/>
  <c r="F171" i="134" s="1"/>
  <c r="L96" i="123" l="1"/>
  <c r="F89" i="133" s="1"/>
  <c r="L160" i="125"/>
  <c r="F151" i="134" s="1"/>
  <c r="F287" i="131"/>
  <c r="L97" i="123" l="1"/>
  <c r="F90" i="133" s="1"/>
  <c r="U69" i="72" l="1"/>
  <c r="F782" i="131" s="1"/>
  <c r="U43" i="72"/>
  <c r="F756" i="131" s="1"/>
  <c r="U61" i="72" l="1"/>
  <c r="F774" i="131" s="1"/>
  <c r="U29" i="72"/>
  <c r="F742" i="131" s="1"/>
  <c r="U27" i="72"/>
  <c r="F740" i="131" s="1"/>
  <c r="U25" i="72"/>
  <c r="F738" i="131" s="1"/>
  <c r="U24" i="72"/>
  <c r="F737" i="131" s="1"/>
  <c r="U23" i="72"/>
  <c r="F736" i="131" s="1"/>
  <c r="U22" i="72"/>
  <c r="F735" i="131" s="1"/>
  <c r="U21" i="72"/>
  <c r="F734" i="131" s="1"/>
  <c r="U39" i="72" l="1"/>
  <c r="F752" i="131" s="1"/>
  <c r="U65" i="72"/>
  <c r="F778" i="131" s="1"/>
  <c r="U52" i="72"/>
  <c r="F765" i="131" s="1"/>
  <c r="U46" i="72"/>
  <c r="F759" i="131" s="1"/>
  <c r="U85" i="72"/>
  <c r="F798" i="131" s="1"/>
  <c r="U19" i="72"/>
  <c r="F732" i="131" s="1"/>
  <c r="U31" i="72"/>
  <c r="F744" i="131" s="1"/>
  <c r="U33" i="72"/>
  <c r="F746" i="131" s="1"/>
  <c r="U20" i="72"/>
  <c r="F733" i="131" s="1"/>
  <c r="U32" i="72"/>
  <c r="F745" i="131" s="1"/>
  <c r="F102" i="132" l="1"/>
  <c r="F108" i="132"/>
  <c r="G107" i="132"/>
  <c r="F106" i="132"/>
  <c r="F105" i="132"/>
  <c r="A69" i="132"/>
  <c r="A70" i="132" s="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107" i="132" l="1"/>
  <c r="AT140" i="118" l="1"/>
  <c r="AT138" i="118"/>
  <c r="L136" i="118"/>
  <c r="AQ141" i="118"/>
  <c r="G108" i="118" l="1"/>
  <c r="L108" i="118" s="1"/>
  <c r="G116" i="118"/>
  <c r="G117" i="118" s="1"/>
  <c r="H79" i="127" l="1"/>
  <c r="H80" i="127" s="1"/>
  <c r="I80" i="127" s="1"/>
  <c r="G76" i="127"/>
  <c r="G77" i="127" s="1"/>
  <c r="C81" i="127" l="1"/>
  <c r="G140" i="118" l="1"/>
  <c r="V65" i="118" l="1"/>
  <c r="V63" i="118"/>
  <c r="L98" i="118" l="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4" i="72" l="1"/>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D20" i="127" l="1"/>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C73" i="127"/>
  <c r="R39" i="127"/>
  <c r="J55" i="127"/>
  <c r="K56" i="127"/>
  <c r="I54" i="127"/>
  <c r="E54" i="127"/>
  <c r="G54" i="127"/>
  <c r="H68" i="127"/>
  <c r="I68" i="127" s="1"/>
  <c r="F68" i="127"/>
  <c r="E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M16" i="126"/>
  <c r="I16" i="126"/>
  <c r="H16" i="126"/>
  <c r="U16" i="126" s="1"/>
  <c r="P16" i="126" l="1"/>
  <c r="P19" i="126"/>
  <c r="O26" i="126"/>
  <c r="P26" i="126" s="1"/>
  <c r="Q22" i="126"/>
  <c r="R22" i="126" s="1"/>
  <c r="P20" i="126"/>
  <c r="S24" i="126"/>
  <c r="Q20" i="126"/>
  <c r="R20" i="126" s="1"/>
  <c r="T20" i="126" s="1"/>
  <c r="V20" i="126" s="1"/>
  <c r="Q34" i="126"/>
  <c r="R34" i="126" s="1"/>
  <c r="S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26" i="126"/>
  <c r="S30" i="126"/>
  <c r="S22" i="126"/>
  <c r="Y15" i="126"/>
  <c r="Y24" i="126" s="1"/>
  <c r="Q16" i="126"/>
  <c r="R16" i="126" s="1"/>
  <c r="S33" i="126"/>
  <c r="Q36" i="126"/>
  <c r="R36" i="126" s="1"/>
  <c r="T36" i="126" s="1"/>
  <c r="V36" i="126" s="1"/>
  <c r="Q19" i="126"/>
  <c r="R19" i="126" s="1"/>
  <c r="T19" i="126" s="1"/>
  <c r="V19" i="126" s="1"/>
  <c r="S20" i="126"/>
  <c r="U22" i="126"/>
  <c r="V22" i="126" s="1"/>
  <c r="S28" i="126"/>
  <c r="Q32" i="126"/>
  <c r="R32" i="126" s="1"/>
  <c r="T32" i="126" s="1"/>
  <c r="V32" i="126" s="1"/>
  <c r="S16" i="126"/>
  <c r="I57" i="126" l="1"/>
  <c r="T34" i="126"/>
  <c r="V34" i="126" s="1"/>
  <c r="W37" i="126"/>
  <c r="M42" i="126"/>
  <c r="H44" i="126"/>
  <c r="Z24" i="126"/>
  <c r="AA24" i="126" s="1"/>
  <c r="H39" i="126"/>
  <c r="T39" i="126" s="1"/>
  <c r="L37" i="126"/>
  <c r="J37" i="126"/>
  <c r="D23" i="127"/>
  <c r="K39" i="126"/>
  <c r="S92" i="118"/>
  <c r="C23" i="127"/>
  <c r="G92" i="118" s="1"/>
  <c r="I39" i="126"/>
  <c r="K42" i="126"/>
  <c r="S36" i="126"/>
  <c r="S19" i="126"/>
  <c r="M39" i="126"/>
  <c r="T24" i="126"/>
  <c r="V24" i="126" s="1"/>
  <c r="T16" i="126"/>
  <c r="V16" i="126" s="1"/>
  <c r="R37" i="126"/>
  <c r="T26" i="126"/>
  <c r="V26" i="126" s="1"/>
  <c r="O37" i="126"/>
  <c r="S32" i="126"/>
  <c r="L39" i="126" l="1"/>
  <c r="J23" i="127"/>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N121" i="125"/>
  <c r="Q121" i="125" s="1"/>
  <c r="R121" i="125" s="1"/>
  <c r="M121" i="125"/>
  <c r="I121" i="125"/>
  <c r="H121" i="125"/>
  <c r="N120" i="125"/>
  <c r="O120" i="125" s="1"/>
  <c r="M120" i="125"/>
  <c r="I120" i="125"/>
  <c r="H120" i="125"/>
  <c r="S119" i="125"/>
  <c r="I119" i="125"/>
  <c r="N118" i="125"/>
  <c r="Q118" i="125" s="1"/>
  <c r="R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S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P92" i="125" s="1"/>
  <c r="M92" i="125"/>
  <c r="I92" i="125"/>
  <c r="H92" i="125"/>
  <c r="N91" i="125"/>
  <c r="Q91" i="125" s="1"/>
  <c r="R91" i="125" s="1"/>
  <c r="S91" i="125" s="1"/>
  <c r="M91" i="125"/>
  <c r="I91" i="125"/>
  <c r="H91" i="125"/>
  <c r="N90" i="125"/>
  <c r="Q90" i="125" s="1"/>
  <c r="R90" i="125" s="1"/>
  <c r="S90" i="125" s="1"/>
  <c r="M90" i="125"/>
  <c r="I90" i="125"/>
  <c r="H90" i="125"/>
  <c r="N89" i="125"/>
  <c r="Q89" i="125" s="1"/>
  <c r="R89" i="125" s="1"/>
  <c r="S89" i="125" s="1"/>
  <c r="M89" i="125"/>
  <c r="I89" i="125"/>
  <c r="H89" i="125"/>
  <c r="N88" i="125"/>
  <c r="O88" i="125" s="1"/>
  <c r="P88" i="125" s="1"/>
  <c r="M88" i="125"/>
  <c r="I88" i="125"/>
  <c r="H88" i="125"/>
  <c r="N87" i="125"/>
  <c r="O87" i="125" s="1"/>
  <c r="P87" i="125" s="1"/>
  <c r="M87" i="125"/>
  <c r="I87" i="125"/>
  <c r="H87" i="125"/>
  <c r="N86" i="125"/>
  <c r="Q86" i="125" s="1"/>
  <c r="R86" i="125" s="1"/>
  <c r="S86" i="125" s="1"/>
  <c r="M86" i="125"/>
  <c r="I86" i="125"/>
  <c r="H86" i="125"/>
  <c r="N85" i="125"/>
  <c r="Q85" i="125" s="1"/>
  <c r="R85" i="125" s="1"/>
  <c r="S85" i="125" s="1"/>
  <c r="M85" i="125"/>
  <c r="I85" i="125"/>
  <c r="H85" i="125"/>
  <c r="N84" i="125"/>
  <c r="O84" i="125" s="1"/>
  <c r="P84" i="125" s="1"/>
  <c r="M84" i="125"/>
  <c r="I84" i="125"/>
  <c r="H84" i="125"/>
  <c r="N83" i="125"/>
  <c r="Q83" i="125" s="1"/>
  <c r="R83" i="125" s="1"/>
  <c r="S83" i="125" s="1"/>
  <c r="M83" i="125"/>
  <c r="I83" i="125"/>
  <c r="H83" i="125"/>
  <c r="N82" i="125"/>
  <c r="Q82" i="125" s="1"/>
  <c r="R82" i="125" s="1"/>
  <c r="S82" i="125" s="1"/>
  <c r="M82" i="125"/>
  <c r="I82" i="125"/>
  <c r="H82" i="125"/>
  <c r="N81" i="125"/>
  <c r="Q81" i="125" s="1"/>
  <c r="R81" i="125" s="1"/>
  <c r="S81" i="125" s="1"/>
  <c r="M81" i="125"/>
  <c r="I81" i="125"/>
  <c r="H81" i="125"/>
  <c r="N80" i="125"/>
  <c r="O80" i="125" s="1"/>
  <c r="P80" i="125" s="1"/>
  <c r="M80" i="125"/>
  <c r="I80" i="125"/>
  <c r="H80" i="125"/>
  <c r="O79"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Q190" i="125" l="1"/>
  <c r="R190" i="125" s="1"/>
  <c r="S109" i="125"/>
  <c r="S118" i="125"/>
  <c r="S165" i="125"/>
  <c r="S175" i="125"/>
  <c r="P186" i="125"/>
  <c r="P121" i="125"/>
  <c r="P132"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U23" i="125"/>
  <c r="W23" i="125" s="1"/>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S102" i="118" s="1"/>
  <c r="R191" i="125"/>
  <c r="Q191" i="125" s="1"/>
  <c r="J38" i="127"/>
  <c r="K38" i="127" s="1"/>
  <c r="L95" i="118"/>
  <c r="E36" i="127"/>
  <c r="S95" i="118"/>
  <c r="I37" i="127"/>
  <c r="R37" i="127"/>
  <c r="I38" i="127"/>
  <c r="H36" i="127"/>
  <c r="O194" i="125"/>
  <c r="R194" i="125" s="1"/>
  <c r="L102" i="118"/>
  <c r="N191" i="125"/>
  <c r="N200" i="125" s="1"/>
  <c r="O200" i="125" s="1"/>
  <c r="O193" i="125" l="1"/>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N50" i="124"/>
  <c r="O50" i="124" s="1"/>
  <c r="M50" i="124"/>
  <c r="K50" i="124"/>
  <c r="I50" i="124"/>
  <c r="H50" i="124"/>
  <c r="U50" i="124" s="1"/>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Q29" i="124"/>
  <c r="R29" i="124" s="1"/>
  <c r="S29"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P36" i="124" l="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T32" i="124"/>
  <c r="V32" i="124" s="1"/>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57" i="124"/>
  <c r="T43" i="124"/>
  <c r="V43"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E27" i="127"/>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P82" i="124" s="1"/>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E88" i="124"/>
  <c r="H28" i="127"/>
  <c r="T19" i="124"/>
  <c r="V19" i="124" s="1"/>
  <c r="T40" i="124"/>
  <c r="V40" i="124" s="1"/>
  <c r="T21" i="124"/>
  <c r="V21" i="124" s="1"/>
  <c r="P17" i="124"/>
  <c r="T25" i="124"/>
  <c r="V25" i="124" s="1"/>
  <c r="L93" i="118" l="1"/>
  <c r="S60" i="124"/>
  <c r="T63" i="124"/>
  <c r="T60" i="124"/>
  <c r="X60" i="124" s="1"/>
  <c r="J27" i="127"/>
  <c r="R27" i="127" s="1"/>
  <c r="G93" i="118"/>
  <c r="K61" i="124"/>
  <c r="R28" i="127"/>
  <c r="G26" i="127"/>
  <c r="M62" i="124"/>
  <c r="O62" i="124" s="1"/>
  <c r="R62" i="124" s="1"/>
  <c r="M61" i="124"/>
  <c r="I28" i="127"/>
  <c r="J28" i="127"/>
  <c r="K28" i="127" s="1"/>
  <c r="N60" i="124"/>
  <c r="N84" i="124" s="1"/>
  <c r="O84" i="124" s="1"/>
  <c r="P67" i="124"/>
  <c r="J29" i="127"/>
  <c r="K29" i="127" s="1"/>
  <c r="I29" i="127"/>
  <c r="I27" i="127"/>
  <c r="H26" i="127"/>
  <c r="L100" i="118" l="1"/>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P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R112" i="123"/>
  <c r="P112" i="123"/>
  <c r="O112" i="123"/>
  <c r="M112" i="123"/>
  <c r="I112" i="123"/>
  <c r="S112" i="123" s="1"/>
  <c r="H112" i="123"/>
  <c r="R111" i="123"/>
  <c r="P111" i="123"/>
  <c r="O111" i="123"/>
  <c r="M111" i="123"/>
  <c r="I111" i="123"/>
  <c r="S111" i="123" s="1"/>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R61" i="123"/>
  <c r="P61" i="123"/>
  <c r="O61" i="123"/>
  <c r="M61" i="123"/>
  <c r="I61" i="123"/>
  <c r="S61" i="123" s="1"/>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S43" i="123" s="1"/>
  <c r="M43" i="123"/>
  <c r="I43" i="123"/>
  <c r="H43" i="123"/>
  <c r="N42" i="123"/>
  <c r="Q42" i="123" s="1"/>
  <c r="R42" i="123" s="1"/>
  <c r="M42" i="123"/>
  <c r="I42" i="123"/>
  <c r="H42" i="123"/>
  <c r="N41" i="123"/>
  <c r="O41" i="123" s="1"/>
  <c r="P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R33" i="123"/>
  <c r="P33" i="123"/>
  <c r="O33" i="123"/>
  <c r="M33" i="123"/>
  <c r="I33" i="123"/>
  <c r="S33" i="123" s="1"/>
  <c r="H33" i="123"/>
  <c r="R32" i="123"/>
  <c r="P32" i="123"/>
  <c r="O32" i="123"/>
  <c r="M32" i="123"/>
  <c r="I32" i="123"/>
  <c r="S32" i="123" s="1"/>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R26" i="123"/>
  <c r="P26" i="123"/>
  <c r="O26" i="123"/>
  <c r="M26" i="123"/>
  <c r="I26" i="123"/>
  <c r="S26" i="123" s="1"/>
  <c r="H26" i="123"/>
  <c r="N25" i="123"/>
  <c r="O25" i="123" s="1"/>
  <c r="M25" i="123"/>
  <c r="I25" i="123"/>
  <c r="H25" i="123"/>
  <c r="S24" i="123"/>
  <c r="U23" i="123"/>
  <c r="S23" i="123"/>
  <c r="T23" i="123"/>
  <c r="U22" i="123"/>
  <c r="N22" i="123"/>
  <c r="Q22" i="123" s="1"/>
  <c r="R22" i="123" s="1"/>
  <c r="M22" i="123"/>
  <c r="I22" i="123"/>
  <c r="H22" i="123"/>
  <c r="N21" i="123"/>
  <c r="Q21" i="123" s="1"/>
  <c r="R21" i="123" s="1"/>
  <c r="M21" i="123"/>
  <c r="I21" i="123"/>
  <c r="H21" i="123"/>
  <c r="U21" i="123" s="1"/>
  <c r="I20" i="123"/>
  <c r="H20" i="123"/>
  <c r="U20" i="123" s="1"/>
  <c r="Y19" i="123"/>
  <c r="N19" i="123"/>
  <c r="O19" i="123" s="1"/>
  <c r="P19" i="123" s="1"/>
  <c r="M19" i="123"/>
  <c r="I19" i="123"/>
  <c r="H19" i="123"/>
  <c r="U19" i="123" s="1"/>
  <c r="Y18" i="123"/>
  <c r="N18" i="123"/>
  <c r="Q18" i="123" s="1"/>
  <c r="R18" i="123" s="1"/>
  <c r="M18" i="123"/>
  <c r="I18" i="123"/>
  <c r="H18" i="123"/>
  <c r="U18" i="123" s="1"/>
  <c r="Y17" i="123"/>
  <c r="N17" i="123"/>
  <c r="Q17" i="123" s="1"/>
  <c r="R17" i="123" s="1"/>
  <c r="M17" i="123"/>
  <c r="I17" i="123"/>
  <c r="H17" i="123"/>
  <c r="U17" i="123" s="1"/>
  <c r="Y16" i="123"/>
  <c r="U16" i="123"/>
  <c r="T16" i="123"/>
  <c r="Y15" i="123"/>
  <c r="P15" i="123"/>
  <c r="R4" i="123"/>
  <c r="S31" i="123" l="1"/>
  <c r="P225" i="123"/>
  <c r="P25"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Q25" i="123"/>
  <c r="R25" i="123" s="1"/>
  <c r="S25" i="123" s="1"/>
  <c r="S215" i="123"/>
  <c r="F35" i="127"/>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1"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5" i="127" l="1"/>
  <c r="J258" i="123"/>
  <c r="E42" i="43"/>
  <c r="G33" i="127"/>
  <c r="I263" i="123"/>
  <c r="I262" i="123"/>
  <c r="C31" i="127"/>
  <c r="C79" i="127" s="1"/>
  <c r="G34" i="127"/>
  <c r="L101" i="118"/>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E21" i="127" l="1"/>
  <c r="Q21" i="127"/>
  <c r="Q41" i="127"/>
  <c r="D70" i="127"/>
  <c r="G91" i="118" l="1"/>
  <c r="E32" i="43" l="1"/>
  <c r="E33" i="43"/>
  <c r="E31" i="43"/>
  <c r="E24" i="43"/>
  <c r="E25" i="43"/>
  <c r="E26" i="43"/>
  <c r="E27" i="43"/>
  <c r="E28" i="43"/>
  <c r="E29" i="43"/>
  <c r="E23" i="43"/>
  <c r="AH14" i="72" l="1"/>
  <c r="AH15" i="72"/>
  <c r="AH16" i="72"/>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D113" i="72"/>
  <c r="AD111" i="72"/>
  <c r="AD109" i="72"/>
  <c r="AD108" i="72"/>
  <c r="AD106" i="72"/>
  <c r="AD103" i="72"/>
  <c r="AD101" i="72"/>
  <c r="AD99" i="72"/>
  <c r="AD98" i="72"/>
  <c r="AD90" i="72"/>
  <c r="AD86" i="72"/>
  <c r="AD84" i="72"/>
  <c r="AD83" i="72"/>
  <c r="AD73" i="72"/>
  <c r="AD70" i="72"/>
  <c r="AD68" i="72"/>
  <c r="AD66" i="72"/>
  <c r="AD64" i="72"/>
  <c r="AD62" i="72"/>
  <c r="AD58" i="72"/>
  <c r="AD57" i="72"/>
  <c r="AD48" i="72"/>
  <c r="AD45" i="72"/>
  <c r="AD42" i="72"/>
  <c r="AD40" i="72"/>
  <c r="AD34" i="72"/>
  <c r="AD30" i="72"/>
  <c r="AD28" i="72"/>
  <c r="AD26" i="72"/>
  <c r="AD18" i="72"/>
  <c r="AD17" i="72"/>
  <c r="AD16" i="72"/>
  <c r="AD15" i="72"/>
  <c r="AD14" i="72"/>
  <c r="Y113" i="72" l="1"/>
  <c r="Y111" i="72"/>
  <c r="Y109" i="72"/>
  <c r="Y108" i="72"/>
  <c r="Y106" i="72"/>
  <c r="Y103" i="72"/>
  <c r="Y101" i="72"/>
  <c r="Y99" i="72"/>
  <c r="Y98" i="72"/>
  <c r="Y94" i="72"/>
  <c r="Y92" i="72"/>
  <c r="Y90" i="72"/>
  <c r="Y86" i="72"/>
  <c r="Y84" i="72"/>
  <c r="Y83" i="72"/>
  <c r="Y73" i="72"/>
  <c r="Y70" i="72"/>
  <c r="Y68" i="72"/>
  <c r="Y66" i="72"/>
  <c r="Y64" i="72"/>
  <c r="Y62" i="72"/>
  <c r="Y58" i="72"/>
  <c r="Y57" i="72"/>
  <c r="Y48" i="72"/>
  <c r="Y45" i="72"/>
  <c r="Y42" i="72"/>
  <c r="Y40" i="72"/>
  <c r="Y34" i="72"/>
  <c r="Y30" i="72"/>
  <c r="Y28" i="72"/>
  <c r="Y26" i="72"/>
  <c r="Y18" i="72"/>
  <c r="Y17" i="72"/>
  <c r="Y16" i="72"/>
  <c r="Y15" i="72"/>
  <c r="Y14" i="72"/>
  <c r="AA15" i="72"/>
  <c r="AA16" i="72"/>
  <c r="AA17" i="72"/>
  <c r="AA18" i="72"/>
  <c r="AA26" i="72"/>
  <c r="AA28" i="72"/>
  <c r="AA30" i="72"/>
  <c r="AA34" i="72"/>
  <c r="AA40" i="72"/>
  <c r="AA42" i="72"/>
  <c r="AA45" i="72"/>
  <c r="AA48" i="72"/>
  <c r="AA57" i="72"/>
  <c r="AA58" i="72"/>
  <c r="AA62" i="72"/>
  <c r="AA64" i="72"/>
  <c r="AA66" i="72"/>
  <c r="AA68" i="72"/>
  <c r="AA70" i="72"/>
  <c r="AA73" i="72"/>
  <c r="AA84" i="72"/>
  <c r="AA86" i="72"/>
  <c r="AA90" i="72"/>
  <c r="AA98" i="72"/>
  <c r="AA99" i="72"/>
  <c r="AA101" i="72"/>
  <c r="AA103" i="72"/>
  <c r="AA106" i="72"/>
  <c r="AA108" i="72"/>
  <c r="AA109" i="72"/>
  <c r="AA111" i="72"/>
  <c r="AA113" i="72"/>
  <c r="N14" i="72" l="1"/>
  <c r="N15" i="72"/>
  <c r="N16" i="72"/>
  <c r="N17" i="72"/>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P107" i="72" l="1"/>
  <c r="Q107" i="72"/>
  <c r="P111" i="72"/>
  <c r="Q111" i="72"/>
  <c r="Q95" i="72"/>
  <c r="P95" i="72"/>
  <c r="Q87" i="72"/>
  <c r="P87" i="72"/>
  <c r="Q75" i="72"/>
  <c r="P75" i="72"/>
  <c r="Q63" i="72"/>
  <c r="P63" i="72"/>
  <c r="Q51" i="72"/>
  <c r="P51" i="72"/>
  <c r="Q39" i="72"/>
  <c r="P39" i="72"/>
  <c r="Q23" i="72"/>
  <c r="P23" i="72"/>
  <c r="Q15" i="72"/>
  <c r="P15" i="72"/>
  <c r="Q114" i="72"/>
  <c r="P114" i="72"/>
  <c r="P106" i="72"/>
  <c r="Q106" i="72"/>
  <c r="Q98" i="72"/>
  <c r="P98" i="72"/>
  <c r="Q86" i="72"/>
  <c r="P86" i="72"/>
  <c r="Q74" i="72"/>
  <c r="P74" i="72"/>
  <c r="Q62" i="72"/>
  <c r="P62" i="72"/>
  <c r="Q50" i="72"/>
  <c r="P50" i="72"/>
  <c r="Q42" i="72"/>
  <c r="P42" i="72"/>
  <c r="Q34" i="72"/>
  <c r="P34" i="72"/>
  <c r="Q26" i="72"/>
  <c r="P26" i="72"/>
  <c r="Q14" i="72"/>
  <c r="P14" i="72"/>
  <c r="Q109" i="72"/>
  <c r="P109" i="72"/>
  <c r="P93" i="72"/>
  <c r="Q93" i="72"/>
  <c r="P81" i="72"/>
  <c r="Q81" i="72"/>
  <c r="P69" i="72"/>
  <c r="Q69" i="72"/>
  <c r="P53" i="72"/>
  <c r="Q53" i="72"/>
  <c r="P41" i="72"/>
  <c r="Q41" i="72"/>
  <c r="P25" i="72"/>
  <c r="Q25" i="72"/>
  <c r="P115" i="72"/>
  <c r="Q115" i="72"/>
  <c r="P103" i="72"/>
  <c r="Q103" i="72"/>
  <c r="Q99" i="72"/>
  <c r="P99" i="72"/>
  <c r="Q91" i="72"/>
  <c r="P91" i="72"/>
  <c r="Q83" i="72"/>
  <c r="P83" i="72"/>
  <c r="Q79" i="72"/>
  <c r="P79" i="72"/>
  <c r="Q71" i="72"/>
  <c r="P71" i="72"/>
  <c r="Q67" i="72"/>
  <c r="P67" i="72"/>
  <c r="Q59" i="72"/>
  <c r="P59" i="72"/>
  <c r="Q55" i="72"/>
  <c r="P55" i="72"/>
  <c r="Q47" i="72"/>
  <c r="P47" i="72"/>
  <c r="Q43" i="72"/>
  <c r="P43" i="72"/>
  <c r="Q35" i="72"/>
  <c r="P35" i="72"/>
  <c r="Q31" i="72"/>
  <c r="P31" i="72"/>
  <c r="Q27" i="72"/>
  <c r="P27" i="72"/>
  <c r="Q19" i="72"/>
  <c r="P19" i="72"/>
  <c r="Q110" i="72"/>
  <c r="P110" i="72"/>
  <c r="P102" i="72"/>
  <c r="Q102" i="72"/>
  <c r="P94" i="72"/>
  <c r="Q94" i="72"/>
  <c r="P90" i="72"/>
  <c r="Q90" i="72"/>
  <c r="Q82" i="72"/>
  <c r="P82" i="72"/>
  <c r="Q78" i="72"/>
  <c r="P78" i="72"/>
  <c r="Q70" i="72"/>
  <c r="P70" i="72"/>
  <c r="Q66" i="72"/>
  <c r="P66" i="72"/>
  <c r="Q58" i="72"/>
  <c r="P58" i="72"/>
  <c r="Q54" i="72"/>
  <c r="P54" i="72"/>
  <c r="Q46" i="72"/>
  <c r="P46" i="72"/>
  <c r="Q38" i="72"/>
  <c r="P38" i="72"/>
  <c r="Q30" i="72"/>
  <c r="P30" i="72"/>
  <c r="Q22" i="72"/>
  <c r="P22" i="72"/>
  <c r="Q18" i="72"/>
  <c r="P18" i="72"/>
  <c r="Q117" i="72"/>
  <c r="P117" i="72"/>
  <c r="Q113" i="72"/>
  <c r="P113" i="72"/>
  <c r="Q105" i="72"/>
  <c r="P105" i="72"/>
  <c r="Q101" i="72"/>
  <c r="P101" i="72"/>
  <c r="Q97" i="72"/>
  <c r="P97" i="72"/>
  <c r="Q89" i="72"/>
  <c r="P89" i="72"/>
  <c r="P85" i="72"/>
  <c r="Q85" i="72"/>
  <c r="P77" i="72"/>
  <c r="Q77" i="72"/>
  <c r="P73" i="72"/>
  <c r="Q73" i="72"/>
  <c r="P65" i="72"/>
  <c r="Q65" i="72"/>
  <c r="P61" i="72"/>
  <c r="Q61" i="72"/>
  <c r="P57" i="72"/>
  <c r="Q57" i="72"/>
  <c r="P49" i="72"/>
  <c r="Q49" i="72"/>
  <c r="P45" i="72"/>
  <c r="Q45" i="72"/>
  <c r="P37" i="72"/>
  <c r="Q37" i="72"/>
  <c r="P33" i="72"/>
  <c r="Q33" i="72"/>
  <c r="P29" i="72"/>
  <c r="Q29" i="72"/>
  <c r="P21" i="72"/>
  <c r="Q21" i="72"/>
  <c r="P17" i="72"/>
  <c r="Q17" i="72"/>
  <c r="P116" i="72"/>
  <c r="Q116" i="72"/>
  <c r="P112" i="72"/>
  <c r="Q112" i="72"/>
  <c r="P108" i="72"/>
  <c r="Q108" i="72"/>
  <c r="P104" i="72"/>
  <c r="Q104" i="72"/>
  <c r="P100" i="72"/>
  <c r="Q100" i="72"/>
  <c r="Q96" i="72"/>
  <c r="P96" i="72"/>
  <c r="P92" i="72"/>
  <c r="Q92" i="72"/>
  <c r="Q88" i="72"/>
  <c r="P88" i="72"/>
  <c r="P84" i="72"/>
  <c r="Q84" i="72"/>
  <c r="Q80" i="72"/>
  <c r="P80" i="72"/>
  <c r="Q76" i="72"/>
  <c r="P76" i="72"/>
  <c r="Q72" i="72"/>
  <c r="P72" i="72"/>
  <c r="Q68" i="72"/>
  <c r="P68" i="72"/>
  <c r="Q64" i="72"/>
  <c r="P64" i="72"/>
  <c r="P60" i="72"/>
  <c r="Q60" i="72"/>
  <c r="Q56" i="72"/>
  <c r="P56" i="72"/>
  <c r="P52" i="72"/>
  <c r="Q52" i="72"/>
  <c r="Q48" i="72"/>
  <c r="P48" i="72"/>
  <c r="P44" i="72"/>
  <c r="Q44" i="72"/>
  <c r="Q40" i="72"/>
  <c r="P40" i="72"/>
  <c r="Q36" i="72"/>
  <c r="P36" i="72"/>
  <c r="Q32" i="72"/>
  <c r="P32" i="72"/>
  <c r="P28" i="72"/>
  <c r="Q28" i="72"/>
  <c r="Q24" i="72"/>
  <c r="P24" i="72"/>
  <c r="P20" i="72"/>
  <c r="Q20" i="72"/>
  <c r="Q16" i="72"/>
  <c r="P16" i="72"/>
  <c r="L114" i="72"/>
  <c r="O114" i="72" s="1"/>
  <c r="L106" i="72"/>
  <c r="O106" i="72" s="1"/>
  <c r="L102" i="72"/>
  <c r="O102" i="72" s="1"/>
  <c r="R102" i="72" s="1"/>
  <c r="AF102" i="72" s="1"/>
  <c r="L94" i="72"/>
  <c r="O94" i="72" s="1"/>
  <c r="L90" i="72"/>
  <c r="O90" i="72" s="1"/>
  <c r="L86" i="72"/>
  <c r="O86" i="72" s="1"/>
  <c r="R86" i="72" s="1"/>
  <c r="L78" i="72"/>
  <c r="O78" i="72" s="1"/>
  <c r="R78" i="72" s="1"/>
  <c r="AF78" i="72" s="1"/>
  <c r="L74" i="72"/>
  <c r="O74" i="72" s="1"/>
  <c r="L66" i="72"/>
  <c r="O66" i="72" s="1"/>
  <c r="L62" i="72"/>
  <c r="O62" i="72" s="1"/>
  <c r="L58" i="72"/>
  <c r="O58" i="72" s="1"/>
  <c r="L50" i="72"/>
  <c r="O50" i="72" s="1"/>
  <c r="L46" i="72"/>
  <c r="O46" i="72" s="1"/>
  <c r="R46" i="72" s="1"/>
  <c r="AF46" i="72" s="1"/>
  <c r="L42" i="72"/>
  <c r="O42" i="72" s="1"/>
  <c r="R42" i="72" s="1"/>
  <c r="L34" i="72"/>
  <c r="O34" i="72" s="1"/>
  <c r="L30" i="72"/>
  <c r="O30" i="72" s="1"/>
  <c r="L26" i="72"/>
  <c r="O26" i="72" s="1"/>
  <c r="L18" i="72"/>
  <c r="O18" i="72" s="1"/>
  <c r="R18" i="72" s="1"/>
  <c r="L14" i="72"/>
  <c r="O14" i="72" s="1"/>
  <c r="L117" i="72"/>
  <c r="O117" i="72" s="1"/>
  <c r="L113" i="72"/>
  <c r="O113" i="72" s="1"/>
  <c r="L109" i="72"/>
  <c r="O109" i="72" s="1"/>
  <c r="R109" i="72" s="1"/>
  <c r="L105" i="72"/>
  <c r="O105" i="72" s="1"/>
  <c r="R105" i="72" s="1"/>
  <c r="AF105" i="72" s="1"/>
  <c r="L101" i="72"/>
  <c r="O101" i="72" s="1"/>
  <c r="R101" i="72" s="1"/>
  <c r="L97" i="72"/>
  <c r="O97" i="72" s="1"/>
  <c r="R97" i="72" s="1"/>
  <c r="AF97" i="72" s="1"/>
  <c r="L93" i="72"/>
  <c r="O93" i="72" s="1"/>
  <c r="L89" i="72"/>
  <c r="O89" i="72" s="1"/>
  <c r="L85" i="72"/>
  <c r="O85" i="72" s="1"/>
  <c r="R85" i="72" s="1"/>
  <c r="AF85" i="72" s="1"/>
  <c r="L81" i="72"/>
  <c r="O81" i="72" s="1"/>
  <c r="L77" i="72"/>
  <c r="O77" i="72" s="1"/>
  <c r="L73" i="72"/>
  <c r="O73" i="72" s="1"/>
  <c r="L69" i="72"/>
  <c r="O69" i="72" s="1"/>
  <c r="R69" i="72" s="1"/>
  <c r="AF69" i="72" s="1"/>
  <c r="L65" i="72"/>
  <c r="O65" i="72" s="1"/>
  <c r="L61" i="72"/>
  <c r="O61" i="72" s="1"/>
  <c r="R61" i="72" s="1"/>
  <c r="AF61" i="72" s="1"/>
  <c r="L57" i="72"/>
  <c r="O57" i="72" s="1"/>
  <c r="L53" i="72"/>
  <c r="O53" i="72" s="1"/>
  <c r="L49" i="72"/>
  <c r="O49" i="72" s="1"/>
  <c r="L45" i="72"/>
  <c r="O45" i="72" s="1"/>
  <c r="L41" i="72"/>
  <c r="O41" i="72" s="1"/>
  <c r="L37" i="72"/>
  <c r="O37" i="72" s="1"/>
  <c r="R37" i="72" s="1"/>
  <c r="AF37" i="72" s="1"/>
  <c r="L33" i="72"/>
  <c r="O33" i="72" s="1"/>
  <c r="L29" i="72"/>
  <c r="O29" i="72" s="1"/>
  <c r="L25" i="72"/>
  <c r="O25" i="72" s="1"/>
  <c r="L21" i="72"/>
  <c r="O21" i="72" s="1"/>
  <c r="L17" i="72"/>
  <c r="O17" i="72" s="1"/>
  <c r="R17" i="72" s="1"/>
  <c r="L116" i="72"/>
  <c r="O116" i="72" s="1"/>
  <c r="L108" i="72"/>
  <c r="O108" i="72" s="1"/>
  <c r="R108" i="72" s="1"/>
  <c r="L100" i="72"/>
  <c r="O100" i="72" s="1"/>
  <c r="R100" i="72" s="1"/>
  <c r="AF100" i="72" s="1"/>
  <c r="L92" i="72"/>
  <c r="O92" i="72" s="1"/>
  <c r="L84" i="72"/>
  <c r="O84" i="72" s="1"/>
  <c r="L76" i="72"/>
  <c r="O76" i="72" s="1"/>
  <c r="R76" i="72" s="1"/>
  <c r="AF76" i="72" s="1"/>
  <c r="L68" i="72"/>
  <c r="O68" i="72" s="1"/>
  <c r="L64" i="72"/>
  <c r="O64" i="72" s="1"/>
  <c r="R64" i="72" s="1"/>
  <c r="L56" i="72"/>
  <c r="O56" i="72" s="1"/>
  <c r="R56" i="72" s="1"/>
  <c r="AF56" i="72" s="1"/>
  <c r="L48" i="72"/>
  <c r="O48" i="72" s="1"/>
  <c r="R48" i="72" s="1"/>
  <c r="L40" i="72"/>
  <c r="O40" i="72" s="1"/>
  <c r="L32" i="72"/>
  <c r="O32" i="72" s="1"/>
  <c r="R32" i="72" s="1"/>
  <c r="AF32" i="72" s="1"/>
  <c r="L24" i="72"/>
  <c r="O24" i="72" s="1"/>
  <c r="L16" i="72"/>
  <c r="O16" i="72" s="1"/>
  <c r="R16" i="72" s="1"/>
  <c r="L115" i="72"/>
  <c r="O115" i="72" s="1"/>
  <c r="R115" i="72" s="1"/>
  <c r="AF115" i="72" s="1"/>
  <c r="L107" i="72"/>
  <c r="O107" i="72" s="1"/>
  <c r="R107" i="72" s="1"/>
  <c r="AF107" i="72" s="1"/>
  <c r="L99" i="72"/>
  <c r="O99" i="72" s="1"/>
  <c r="R99" i="72" s="1"/>
  <c r="L91" i="72"/>
  <c r="O91" i="72" s="1"/>
  <c r="L83" i="72"/>
  <c r="O83" i="72" s="1"/>
  <c r="L75" i="72"/>
  <c r="O75" i="72" s="1"/>
  <c r="R75" i="72" s="1"/>
  <c r="AF75" i="72" s="1"/>
  <c r="L67" i="72"/>
  <c r="O67" i="72" s="1"/>
  <c r="R67" i="72" s="1"/>
  <c r="AF67" i="72" s="1"/>
  <c r="L59" i="72"/>
  <c r="O59" i="72" s="1"/>
  <c r="L51" i="72"/>
  <c r="O51" i="72" s="1"/>
  <c r="L43" i="72"/>
  <c r="O43" i="72" s="1"/>
  <c r="L31" i="72"/>
  <c r="O31" i="72" s="1"/>
  <c r="R31" i="72" s="1"/>
  <c r="AF31" i="72" s="1"/>
  <c r="L23" i="72"/>
  <c r="O23" i="72" s="1"/>
  <c r="L15" i="72"/>
  <c r="O15" i="72" s="1"/>
  <c r="R15" i="72" s="1"/>
  <c r="L112" i="72"/>
  <c r="O112" i="72" s="1"/>
  <c r="L104" i="72"/>
  <c r="O104" i="72" s="1"/>
  <c r="L96" i="72"/>
  <c r="O96" i="72" s="1"/>
  <c r="R96" i="72" s="1"/>
  <c r="AF96" i="72" s="1"/>
  <c r="L88" i="72"/>
  <c r="O88" i="72" s="1"/>
  <c r="L80" i="72"/>
  <c r="O80" i="72" s="1"/>
  <c r="R80" i="72" s="1"/>
  <c r="AF80" i="72" s="1"/>
  <c r="L72" i="72"/>
  <c r="O72" i="72" s="1"/>
  <c r="L60" i="72"/>
  <c r="O60" i="72" s="1"/>
  <c r="L52" i="72"/>
  <c r="O52" i="72" s="1"/>
  <c r="L44" i="72"/>
  <c r="O44" i="72" s="1"/>
  <c r="R44" i="72" s="1"/>
  <c r="AF44" i="72" s="1"/>
  <c r="L36" i="72"/>
  <c r="O36" i="72" s="1"/>
  <c r="L28" i="72"/>
  <c r="O28" i="72" s="1"/>
  <c r="L20" i="72"/>
  <c r="O20" i="72" s="1"/>
  <c r="L111" i="72"/>
  <c r="O111" i="72" s="1"/>
  <c r="R111" i="72" s="1"/>
  <c r="L103" i="72"/>
  <c r="O103" i="72" s="1"/>
  <c r="R103" i="72" s="1"/>
  <c r="L95" i="72"/>
  <c r="O95" i="72" s="1"/>
  <c r="L87" i="72"/>
  <c r="O87" i="72" s="1"/>
  <c r="L79" i="72"/>
  <c r="O79" i="72" s="1"/>
  <c r="R79" i="72" s="1"/>
  <c r="AF79" i="72" s="1"/>
  <c r="L71" i="72"/>
  <c r="O71" i="72" s="1"/>
  <c r="R71" i="72" s="1"/>
  <c r="AF71" i="72" s="1"/>
  <c r="L63" i="72"/>
  <c r="O63" i="72" s="1"/>
  <c r="R63" i="72" s="1"/>
  <c r="AF63" i="72" s="1"/>
  <c r="L55" i="72"/>
  <c r="O55" i="72" s="1"/>
  <c r="R55" i="72" s="1"/>
  <c r="AF55" i="72" s="1"/>
  <c r="L47" i="72"/>
  <c r="O47" i="72" s="1"/>
  <c r="R47" i="72" s="1"/>
  <c r="AF47" i="72" s="1"/>
  <c r="L39" i="72"/>
  <c r="O39" i="72" s="1"/>
  <c r="L35" i="72"/>
  <c r="O35" i="72" s="1"/>
  <c r="L27" i="72"/>
  <c r="O27" i="72" s="1"/>
  <c r="R27" i="72" s="1"/>
  <c r="AF27" i="72" s="1"/>
  <c r="L19" i="72"/>
  <c r="O19" i="72" s="1"/>
  <c r="L110" i="72"/>
  <c r="O110" i="72" s="1"/>
  <c r="L98" i="72"/>
  <c r="O98" i="72" s="1"/>
  <c r="L82" i="72"/>
  <c r="O82" i="72" s="1"/>
  <c r="L70" i="72"/>
  <c r="O70" i="72" s="1"/>
  <c r="R70" i="72" s="1"/>
  <c r="L54" i="72"/>
  <c r="O54" i="72" s="1"/>
  <c r="R54" i="72" s="1"/>
  <c r="AF54" i="72" s="1"/>
  <c r="L38" i="72"/>
  <c r="O38" i="72" s="1"/>
  <c r="L22" i="72"/>
  <c r="O22" i="72" s="1"/>
  <c r="R22" i="72" s="1"/>
  <c r="AF22" i="72" s="1"/>
  <c r="R90" i="72" l="1"/>
  <c r="R25" i="72"/>
  <c r="AF25" i="72" s="1"/>
  <c r="R112" i="72"/>
  <c r="AF112" i="72" s="1"/>
  <c r="O118" i="72"/>
  <c r="P118" i="72"/>
  <c r="Q118" i="72"/>
  <c r="AB48" i="72"/>
  <c r="AF48" i="72"/>
  <c r="AC48" i="72"/>
  <c r="AB108" i="72"/>
  <c r="AF108" i="72"/>
  <c r="AC108" i="72"/>
  <c r="AB42" i="72"/>
  <c r="AF42" i="72"/>
  <c r="AC42" i="72"/>
  <c r="AB86" i="72"/>
  <c r="AF86" i="72"/>
  <c r="AC86" i="72"/>
  <c r="AB90" i="72"/>
  <c r="AF90" i="72"/>
  <c r="AC90" i="72"/>
  <c r="AB70" i="72"/>
  <c r="AF70" i="72"/>
  <c r="AC70" i="72"/>
  <c r="AB64" i="72"/>
  <c r="AF64" i="72"/>
  <c r="AC64" i="72"/>
  <c r="AB101" i="72"/>
  <c r="AF101" i="72"/>
  <c r="AC101" i="72"/>
  <c r="AB15" i="72"/>
  <c r="AF15" i="72"/>
  <c r="AC15" i="72"/>
  <c r="AB16" i="72"/>
  <c r="AF16" i="72"/>
  <c r="AC16" i="72"/>
  <c r="AB109" i="72"/>
  <c r="AF109" i="72"/>
  <c r="AC109" i="72"/>
  <c r="AB18" i="72"/>
  <c r="AF18" i="72"/>
  <c r="AC18" i="72"/>
  <c r="AB99" i="72"/>
  <c r="AF99" i="72"/>
  <c r="AC99" i="72"/>
  <c r="AB17" i="72"/>
  <c r="AF17" i="72"/>
  <c r="AC17" i="72"/>
  <c r="AB103" i="72"/>
  <c r="AF103" i="72"/>
  <c r="AC103" i="72"/>
  <c r="AB111" i="72"/>
  <c r="AF111" i="72"/>
  <c r="AC111" i="72"/>
  <c r="R82" i="72"/>
  <c r="AF82" i="72" s="1"/>
  <c r="R59" i="72"/>
  <c r="AF59" i="72" s="1"/>
  <c r="R38" i="72"/>
  <c r="AF38" i="72" s="1"/>
  <c r="R88" i="72"/>
  <c r="AF88" i="72" s="1"/>
  <c r="R19" i="72"/>
  <c r="AF19" i="72" s="1"/>
  <c r="R91" i="72"/>
  <c r="AF91" i="72" s="1"/>
  <c r="R24" i="72"/>
  <c r="AF24" i="72" s="1"/>
  <c r="R66" i="72"/>
  <c r="R72" i="72"/>
  <c r="AF72" i="72" s="1"/>
  <c r="R43" i="72"/>
  <c r="AF43" i="72" s="1"/>
  <c r="R117" i="72"/>
  <c r="AF117" i="72" s="1"/>
  <c r="R40" i="72"/>
  <c r="R20" i="72"/>
  <c r="AF20" i="72" s="1"/>
  <c r="R116" i="72"/>
  <c r="AF116" i="72" s="1"/>
  <c r="R65" i="72"/>
  <c r="AF65" i="72" s="1"/>
  <c r="R50" i="72"/>
  <c r="AF50" i="72" s="1"/>
  <c r="R98" i="72"/>
  <c r="R52" i="72"/>
  <c r="AF52" i="72" s="1"/>
  <c r="R23" i="72"/>
  <c r="AF23" i="72" s="1"/>
  <c r="R45" i="72"/>
  <c r="R84" i="72"/>
  <c r="R81" i="72"/>
  <c r="AF81" i="72" s="1"/>
  <c r="R21" i="72"/>
  <c r="AF21" i="72" s="1"/>
  <c r="R58" i="72"/>
  <c r="R68" i="72"/>
  <c r="R28" i="72"/>
  <c r="R33" i="72"/>
  <c r="AF33" i="72" s="1"/>
  <c r="R36" i="72"/>
  <c r="AF36" i="72" s="1"/>
  <c r="R94" i="72"/>
  <c r="R77" i="72"/>
  <c r="AF77" i="72" s="1"/>
  <c r="R106" i="72"/>
  <c r="R110" i="72"/>
  <c r="AF110" i="72" s="1"/>
  <c r="R35" i="72"/>
  <c r="AF35" i="72" s="1"/>
  <c r="R95" i="72"/>
  <c r="AF95" i="72" s="1"/>
  <c r="R60" i="72"/>
  <c r="AF60" i="72" s="1"/>
  <c r="R113" i="72"/>
  <c r="R114" i="72"/>
  <c r="AF114" i="72" s="1"/>
  <c r="R92" i="72"/>
  <c r="R53" i="72"/>
  <c r="AF53" i="72" s="1"/>
  <c r="R30" i="72"/>
  <c r="R74" i="72"/>
  <c r="AF74" i="72" s="1"/>
  <c r="R51" i="72"/>
  <c r="AF51" i="72" s="1"/>
  <c r="R57" i="72"/>
  <c r="R89" i="72"/>
  <c r="AF89" i="72" s="1"/>
  <c r="R34" i="72"/>
  <c r="R104" i="72"/>
  <c r="AF104" i="72" s="1"/>
  <c r="R41" i="72"/>
  <c r="AF41" i="72" s="1"/>
  <c r="R73" i="72"/>
  <c r="R87" i="72"/>
  <c r="AF87" i="72" s="1"/>
  <c r="R62" i="72"/>
  <c r="R49" i="72"/>
  <c r="AF49" i="72" s="1"/>
  <c r="R26" i="72"/>
  <c r="R39" i="72"/>
  <c r="AF39" i="72" s="1"/>
  <c r="R29" i="72"/>
  <c r="AF29" i="72" s="1"/>
  <c r="R93" i="72"/>
  <c r="AF93" i="72" s="1"/>
  <c r="J14" i="72"/>
  <c r="J15" i="72"/>
  <c r="J16" i="72"/>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I14" i="72"/>
  <c r="I15" i="72"/>
  <c r="I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I118" i="72" l="1"/>
  <c r="J118" i="72"/>
  <c r="R118" i="72"/>
  <c r="AB30" i="72"/>
  <c r="AF30" i="72"/>
  <c r="AC30" i="72"/>
  <c r="AB34" i="72"/>
  <c r="AF34" i="72"/>
  <c r="AC34" i="72"/>
  <c r="AB113" i="72"/>
  <c r="AF113" i="72"/>
  <c r="AC113" i="72"/>
  <c r="AB83" i="72"/>
  <c r="AF83" i="72"/>
  <c r="AC83" i="72"/>
  <c r="AB26" i="72"/>
  <c r="AF26" i="72"/>
  <c r="AC26" i="72"/>
  <c r="AB73" i="72"/>
  <c r="AF73" i="72"/>
  <c r="AC73" i="72"/>
  <c r="AB94" i="72"/>
  <c r="AF94" i="72"/>
  <c r="AB98" i="72"/>
  <c r="AF98" i="72"/>
  <c r="AC98" i="72"/>
  <c r="AB66" i="72"/>
  <c r="AF66" i="72"/>
  <c r="AC66" i="72"/>
  <c r="AB62" i="72"/>
  <c r="AF62" i="72"/>
  <c r="AC62" i="72"/>
  <c r="AB14" i="72"/>
  <c r="AF14" i="72"/>
  <c r="AC14" i="72"/>
  <c r="AB57" i="72"/>
  <c r="AF57" i="72"/>
  <c r="AC57" i="72"/>
  <c r="AB92" i="72"/>
  <c r="AF92" i="72"/>
  <c r="AB106" i="72"/>
  <c r="AF106" i="72"/>
  <c r="AC106" i="72"/>
  <c r="AB68" i="72"/>
  <c r="AF68" i="72"/>
  <c r="AC68" i="72"/>
  <c r="AB84" i="72"/>
  <c r="AF84" i="72"/>
  <c r="AC84" i="72"/>
  <c r="AB40" i="72"/>
  <c r="AF40" i="72"/>
  <c r="AC40" i="72"/>
  <c r="C20" i="127"/>
  <c r="E20" i="127" s="1"/>
  <c r="AB28" i="72"/>
  <c r="AF28" i="72"/>
  <c r="AC28" i="72"/>
  <c r="AB58" i="72"/>
  <c r="AF58" i="72"/>
  <c r="AC58" i="72"/>
  <c r="AB45" i="72"/>
  <c r="AF45" i="72"/>
  <c r="AC45" i="72"/>
  <c r="C16" i="127"/>
  <c r="E16" i="127" s="1"/>
  <c r="C19" i="127"/>
  <c r="E19" i="127" s="1"/>
  <c r="C17" i="127"/>
  <c r="E17" i="127" s="1"/>
  <c r="C15" i="127"/>
  <c r="E15" i="127" s="1"/>
  <c r="C14" i="127"/>
  <c r="E14" i="127" s="1"/>
  <c r="C18" i="127"/>
  <c r="E18" i="127" s="1"/>
  <c r="H263" i="134"/>
  <c r="H264" i="134" s="1"/>
  <c r="S118" i="72" l="1"/>
  <c r="C13" i="127"/>
  <c r="R121" i="72"/>
  <c r="C41" i="127" l="1"/>
  <c r="C76" i="127"/>
  <c r="G90" i="118"/>
  <c r="E13" i="127"/>
  <c r="Q121" i="72"/>
  <c r="P121" i="72"/>
  <c r="G108" i="132" l="1"/>
  <c r="H108" i="132" s="1"/>
  <c r="C82" i="127"/>
  <c r="E41" i="127"/>
  <c r="E26" i="127"/>
  <c r="C70" i="127"/>
  <c r="E70" i="127" s="1"/>
  <c r="N55" i="127"/>
  <c r="V15" i="72"/>
  <c r="V16" i="72"/>
  <c r="V17" i="72"/>
  <c r="V18" i="72"/>
  <c r="V19" i="72"/>
  <c r="V20" i="72"/>
  <c r="V21" i="72"/>
  <c r="V22" i="72"/>
  <c r="V23" i="72"/>
  <c r="V24" i="72"/>
  <c r="V25" i="72"/>
  <c r="V26" i="72"/>
  <c r="V27" i="72"/>
  <c r="V28" i="72"/>
  <c r="V29" i="72"/>
  <c r="V30" i="72"/>
  <c r="V31" i="72"/>
  <c r="V32"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1" i="72"/>
  <c r="V72" i="72"/>
  <c r="V73" i="72"/>
  <c r="V74" i="72"/>
  <c r="V75" i="72"/>
  <c r="V76" i="72"/>
  <c r="V77" i="72"/>
  <c r="V78" i="72"/>
  <c r="V79" i="72"/>
  <c r="V80" i="72"/>
  <c r="V81" i="72"/>
  <c r="V82" i="72"/>
  <c r="V84" i="72"/>
  <c r="V85" i="72"/>
  <c r="V86" i="72"/>
  <c r="V87" i="72"/>
  <c r="V88" i="72"/>
  <c r="V89" i="72"/>
  <c r="V90" i="72"/>
  <c r="V91" i="72"/>
  <c r="V92" i="72"/>
  <c r="V93" i="72"/>
  <c r="V94" i="72"/>
  <c r="V95" i="72"/>
  <c r="V96" i="72"/>
  <c r="V97" i="72"/>
  <c r="V98" i="72"/>
  <c r="V99" i="72"/>
  <c r="V100" i="72"/>
  <c r="V101" i="72"/>
  <c r="V102" i="72"/>
  <c r="V103" i="72"/>
  <c r="V105" i="72"/>
  <c r="V106" i="72"/>
  <c r="V107" i="72"/>
  <c r="V108" i="72"/>
  <c r="V109" i="72"/>
  <c r="V110" i="72"/>
  <c r="V111" i="72"/>
  <c r="V112" i="72"/>
  <c r="V113" i="72"/>
  <c r="V114" i="72"/>
  <c r="V115" i="72"/>
  <c r="V116" i="72"/>
  <c r="V117" i="72"/>
  <c r="V118" i="72" l="1"/>
  <c r="F16" i="127"/>
  <c r="G16" i="127" s="1"/>
  <c r="F20" i="127"/>
  <c r="G20" i="127" s="1"/>
  <c r="F17" i="127"/>
  <c r="G17" i="127" s="1"/>
  <c r="F19" i="127"/>
  <c r="G19" i="127" s="1"/>
  <c r="F18" i="127"/>
  <c r="G18" i="127" s="1"/>
  <c r="U118" i="72" l="1"/>
  <c r="AX146" i="118"/>
  <c r="AW146" i="118"/>
  <c r="AV146" i="118"/>
  <c r="AU146" i="118"/>
  <c r="AT146" i="118"/>
  <c r="AS146" i="118"/>
  <c r="AR146" i="118"/>
  <c r="AQ146" i="118"/>
  <c r="X135" i="118"/>
  <c r="X134" i="118"/>
  <c r="AA133" i="118"/>
  <c r="X133" i="118"/>
  <c r="AA132" i="118"/>
  <c r="X132" i="118"/>
  <c r="AA131" i="118"/>
  <c r="I132" i="118"/>
  <c r="F133" i="118" s="1"/>
  <c r="I133" i="118" s="1"/>
  <c r="F134" i="118" s="1"/>
  <c r="I134" i="118" s="1"/>
  <c r="F135" i="118" s="1"/>
  <c r="I135" i="118" s="1"/>
  <c r="Q124" i="118"/>
  <c r="S124" i="118"/>
  <c r="AA124" i="118" s="1"/>
  <c r="AI124" i="118" s="1"/>
  <c r="AN124" i="118" s="1"/>
  <c r="AA108" i="118"/>
  <c r="AG108" i="118" s="1"/>
  <c r="Y108" i="118"/>
  <c r="Q108" i="118"/>
  <c r="AA102" i="118"/>
  <c r="AI102" i="118" s="1"/>
  <c r="AN102" i="118" s="1"/>
  <c r="Y102" i="118"/>
  <c r="Q102" i="118"/>
  <c r="Q101" i="118"/>
  <c r="AA100" i="118"/>
  <c r="AI100" i="118" s="1"/>
  <c r="AN100" i="118" s="1"/>
  <c r="Y100" i="118"/>
  <c r="Q100" i="118"/>
  <c r="AA99" i="118"/>
  <c r="Y99" i="118"/>
  <c r="Q99" i="118"/>
  <c r="AA98" i="118"/>
  <c r="Y98"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AE43" i="118"/>
  <c r="AB43" i="118"/>
  <c r="Y43" i="118"/>
  <c r="M30" i="118"/>
  <c r="M6" i="118"/>
  <c r="Q117" i="118" l="1"/>
  <c r="Y117" i="118"/>
  <c r="X136" i="118"/>
  <c r="AI99" i="118"/>
  <c r="AN99" i="118" s="1"/>
  <c r="AQ41" i="118"/>
  <c r="Y124" i="118"/>
  <c r="AI108" i="118"/>
  <c r="AN108" i="118" s="1"/>
  <c r="AG100" i="118"/>
  <c r="AG95" i="118"/>
  <c r="AG93" i="118"/>
  <c r="AI43" i="118"/>
  <c r="AI44" i="118" s="1"/>
  <c r="AG102" i="118"/>
  <c r="AA117" i="118"/>
  <c r="AG117" i="118" s="1"/>
  <c r="AG92" i="118"/>
  <c r="AQ115" i="118"/>
  <c r="AA136" i="118"/>
  <c r="Q98" i="118"/>
  <c r="AG98" i="118"/>
  <c r="AI98" i="118"/>
  <c r="Q91" i="118"/>
  <c r="AG96" i="118"/>
  <c r="AG99" i="118"/>
  <c r="AG124" i="118"/>
  <c r="G97" i="118"/>
  <c r="Q97" i="118" s="1"/>
  <c r="AY146" i="118"/>
  <c r="AI117" i="118" l="1"/>
  <c r="AN117" i="118" s="1"/>
  <c r="AN98" i="118"/>
  <c r="AQ139" i="118" l="1"/>
  <c r="Y141" i="118"/>
  <c r="Z92" i="72" l="1"/>
  <c r="AD92" i="72" s="1"/>
  <c r="Z94" i="72"/>
  <c r="AD94" i="72" s="1"/>
  <c r="AA94" i="72" l="1"/>
  <c r="AA92" i="72"/>
  <c r="E21" i="43" l="1"/>
  <c r="E18" i="43"/>
  <c r="E17" i="43"/>
  <c r="E14" i="43" l="1"/>
  <c r="E19" i="43"/>
  <c r="E20" i="43"/>
  <c r="E16" i="43"/>
  <c r="G89" i="118" l="1"/>
  <c r="G103" i="118"/>
  <c r="X92" i="72" l="1"/>
  <c r="AC92" i="72" s="1"/>
  <c r="X94" i="72"/>
  <c r="AC94" i="72" s="1"/>
  <c r="W19" i="72"/>
  <c r="W20" i="72"/>
  <c r="W21" i="72"/>
  <c r="W22" i="72"/>
  <c r="W23" i="72"/>
  <c r="W24" i="72"/>
  <c r="W25" i="72"/>
  <c r="W27" i="72"/>
  <c r="W29" i="72"/>
  <c r="W31" i="72"/>
  <c r="W32" i="72"/>
  <c r="W33" i="72"/>
  <c r="W35" i="72"/>
  <c r="W36" i="72"/>
  <c r="W37" i="72"/>
  <c r="W38" i="72"/>
  <c r="W39" i="72"/>
  <c r="W41" i="72"/>
  <c r="W43" i="72"/>
  <c r="W44" i="72"/>
  <c r="W46" i="72"/>
  <c r="W47" i="72"/>
  <c r="W49" i="72"/>
  <c r="W50" i="72"/>
  <c r="W51" i="72"/>
  <c r="W52" i="72"/>
  <c r="W53" i="72"/>
  <c r="W54" i="72"/>
  <c r="W55" i="72"/>
  <c r="W56" i="72"/>
  <c r="W59" i="72"/>
  <c r="W60" i="72"/>
  <c r="W61" i="72"/>
  <c r="W63" i="72"/>
  <c r="W65" i="72"/>
  <c r="W67" i="72"/>
  <c r="W69" i="72"/>
  <c r="W71" i="72"/>
  <c r="W72" i="72"/>
  <c r="W74" i="72"/>
  <c r="W75" i="72"/>
  <c r="W76" i="72"/>
  <c r="W77" i="72"/>
  <c r="W78" i="72"/>
  <c r="W79" i="72"/>
  <c r="W80" i="72"/>
  <c r="W81" i="72"/>
  <c r="W82" i="72"/>
  <c r="W85" i="72"/>
  <c r="W87" i="72"/>
  <c r="W88" i="72"/>
  <c r="W89" i="72"/>
  <c r="W91" i="72"/>
  <c r="W93" i="72"/>
  <c r="W95" i="72"/>
  <c r="W96" i="72"/>
  <c r="W97" i="72"/>
  <c r="W100" i="72"/>
  <c r="W102" i="72"/>
  <c r="W104" i="72"/>
  <c r="W105" i="72"/>
  <c r="W107" i="72"/>
  <c r="W110" i="72"/>
  <c r="W112" i="72"/>
  <c r="W114" i="72"/>
  <c r="W115" i="72"/>
  <c r="W116" i="72"/>
  <c r="W117" i="72"/>
  <c r="Z55" i="72" l="1"/>
  <c r="AD55" i="72" s="1"/>
  <c r="Z117" i="72"/>
  <c r="AD117" i="72" s="1"/>
  <c r="Z104" i="72"/>
  <c r="AD104" i="72" s="1"/>
  <c r="Z89" i="72"/>
  <c r="AD89" i="72" s="1"/>
  <c r="Z78" i="72"/>
  <c r="AD78" i="72" s="1"/>
  <c r="Z67" i="72"/>
  <c r="AD67" i="72" s="1"/>
  <c r="Z54" i="72"/>
  <c r="AD54" i="72" s="1"/>
  <c r="Z44" i="72"/>
  <c r="AD44" i="72" s="1"/>
  <c r="Z33" i="72"/>
  <c r="AD33" i="72" s="1"/>
  <c r="Z22" i="72"/>
  <c r="AD22" i="72" s="1"/>
  <c r="Z105" i="72"/>
  <c r="AD105" i="72" s="1"/>
  <c r="Z23" i="72"/>
  <c r="AD23" i="72" s="1"/>
  <c r="Z116" i="72"/>
  <c r="AD116" i="72" s="1"/>
  <c r="Z102" i="72"/>
  <c r="AD102" i="72" s="1"/>
  <c r="Z88" i="72"/>
  <c r="AD88" i="72" s="1"/>
  <c r="Z77" i="72"/>
  <c r="AD77" i="72" s="1"/>
  <c r="Z65" i="72"/>
  <c r="AD65" i="72" s="1"/>
  <c r="Z53" i="72"/>
  <c r="AD53" i="72" s="1"/>
  <c r="Z43" i="72"/>
  <c r="AD43" i="72" s="1"/>
  <c r="Z32" i="72"/>
  <c r="AD32" i="72" s="1"/>
  <c r="Z21" i="72"/>
  <c r="AD21" i="72" s="1"/>
  <c r="Z35" i="72"/>
  <c r="AD35" i="72" s="1"/>
  <c r="Z115" i="72"/>
  <c r="AD115" i="72" s="1"/>
  <c r="Z100" i="72"/>
  <c r="AD100" i="72" s="1"/>
  <c r="Z87" i="72"/>
  <c r="AD87" i="72" s="1"/>
  <c r="Z76" i="72"/>
  <c r="AD76" i="72" s="1"/>
  <c r="Z63" i="72"/>
  <c r="AD63" i="72" s="1"/>
  <c r="Z52" i="72"/>
  <c r="AD52" i="72" s="1"/>
  <c r="Z41" i="72"/>
  <c r="AD41" i="72" s="1"/>
  <c r="Z31" i="72"/>
  <c r="AD31" i="72" s="1"/>
  <c r="Z20" i="72"/>
  <c r="AD20" i="72" s="1"/>
  <c r="Z79" i="72"/>
  <c r="AD79" i="72" s="1"/>
  <c r="Z85" i="72"/>
  <c r="AD85" i="72" s="1"/>
  <c r="Z19" i="72"/>
  <c r="AD19" i="72" s="1"/>
  <c r="Z97" i="72"/>
  <c r="AD97" i="72" s="1"/>
  <c r="Z61" i="72"/>
  <c r="AD61" i="72" s="1"/>
  <c r="Z29" i="72"/>
  <c r="AD29" i="72" s="1"/>
  <c r="Z96" i="72"/>
  <c r="AD96" i="72" s="1"/>
  <c r="Z60" i="72"/>
  <c r="AD60" i="72" s="1"/>
  <c r="Z27" i="72"/>
  <c r="AD27" i="72" s="1"/>
  <c r="Z69" i="72"/>
  <c r="AD69" i="72" s="1"/>
  <c r="Z114" i="72"/>
  <c r="AD114" i="72" s="1"/>
  <c r="Z75" i="72"/>
  <c r="AD75" i="72" s="1"/>
  <c r="Z51" i="72"/>
  <c r="AD51" i="72" s="1"/>
  <c r="Z39" i="72"/>
  <c r="AD39" i="72" s="1"/>
  <c r="Z112" i="72"/>
  <c r="AD112" i="72" s="1"/>
  <c r="Z82" i="72"/>
  <c r="AD82" i="72" s="1"/>
  <c r="Z74" i="72"/>
  <c r="AD74" i="72" s="1"/>
  <c r="Z50" i="72"/>
  <c r="AA50" i="72" s="1"/>
  <c r="AB50" i="72" s="1"/>
  <c r="Z38" i="72"/>
  <c r="AD38" i="72" s="1"/>
  <c r="H20" i="127"/>
  <c r="Z110" i="72"/>
  <c r="AD110" i="72" s="1"/>
  <c r="Z95" i="72"/>
  <c r="AD95" i="72" s="1"/>
  <c r="Z81" i="72"/>
  <c r="AD81" i="72" s="1"/>
  <c r="Z72" i="72"/>
  <c r="AD72" i="72" s="1"/>
  <c r="Z59" i="72"/>
  <c r="AD59" i="72" s="1"/>
  <c r="Z49" i="72"/>
  <c r="AD49" i="72" s="1"/>
  <c r="Z37" i="72"/>
  <c r="AD37" i="72" s="1"/>
  <c r="Z25" i="72"/>
  <c r="AD25" i="72" s="1"/>
  <c r="Z91" i="72"/>
  <c r="AD91" i="72" s="1"/>
  <c r="Z46" i="72"/>
  <c r="AD46" i="72" s="1"/>
  <c r="Z107" i="72"/>
  <c r="AD107" i="72" s="1"/>
  <c r="Z93" i="72"/>
  <c r="AD93" i="72" s="1"/>
  <c r="Z80" i="72"/>
  <c r="AD80" i="72" s="1"/>
  <c r="Z71" i="72"/>
  <c r="AD71" i="72" s="1"/>
  <c r="Z56" i="72"/>
  <c r="AD56" i="72" s="1"/>
  <c r="Z47" i="72"/>
  <c r="AD47" i="72" s="1"/>
  <c r="Z36" i="72"/>
  <c r="AD36" i="72" s="1"/>
  <c r="Z24" i="72"/>
  <c r="AD24" i="72" s="1"/>
  <c r="AA116" i="72"/>
  <c r="AB116" i="72" s="1"/>
  <c r="AA43" i="72"/>
  <c r="AB43" i="72" s="1"/>
  <c r="AA32" i="72"/>
  <c r="AB32" i="72" s="1"/>
  <c r="AA67" i="72"/>
  <c r="AB67" i="72" s="1"/>
  <c r="AA114" i="72"/>
  <c r="AB114" i="72" s="1"/>
  <c r="AA61" i="72"/>
  <c r="AB61" i="72" s="1"/>
  <c r="AA105" i="72"/>
  <c r="AB105" i="72" s="1"/>
  <c r="AA55" i="72"/>
  <c r="AB55" i="72" s="1"/>
  <c r="AA35" i="72"/>
  <c r="AB35" i="72" s="1"/>
  <c r="AA54" i="72" l="1"/>
  <c r="AB54" i="72" s="1"/>
  <c r="AA82" i="72"/>
  <c r="AB82" i="72" s="1"/>
  <c r="AA36" i="72"/>
  <c r="AB36" i="72" s="1"/>
  <c r="AA89" i="72"/>
  <c r="AB89" i="72" s="1"/>
  <c r="AA23" i="72"/>
  <c r="AB23" i="72" s="1"/>
  <c r="AA49" i="72"/>
  <c r="AB49" i="72" s="1"/>
  <c r="AA38" i="72"/>
  <c r="AB38" i="72" s="1"/>
  <c r="AA29" i="72"/>
  <c r="AB29" i="72" s="1"/>
  <c r="AA104" i="72"/>
  <c r="AB104" i="72" s="1"/>
  <c r="AA117" i="72"/>
  <c r="AB117" i="72" s="1"/>
  <c r="AA22" i="72"/>
  <c r="AB22" i="72" s="1"/>
  <c r="AA46" i="72"/>
  <c r="AB46" i="72" s="1"/>
  <c r="AA31" i="72"/>
  <c r="AB31" i="72" s="1"/>
  <c r="AA91" i="72"/>
  <c r="AB91" i="72" s="1"/>
  <c r="AA110" i="72"/>
  <c r="AB110" i="72" s="1"/>
  <c r="AA60" i="72"/>
  <c r="AB60" i="72" s="1"/>
  <c r="AA93" i="72"/>
  <c r="AB93" i="72" s="1"/>
  <c r="AA24" i="72"/>
  <c r="AB24" i="72" s="1"/>
  <c r="AA96" i="72"/>
  <c r="AB96" i="72" s="1"/>
  <c r="AA76" i="72"/>
  <c r="AB76" i="72" s="1"/>
  <c r="AA19" i="72"/>
  <c r="AA20" i="72"/>
  <c r="AB20" i="72" s="1"/>
  <c r="AA74" i="72"/>
  <c r="AB74" i="72" s="1"/>
  <c r="AA85" i="72"/>
  <c r="AB85" i="72" s="1"/>
  <c r="AA115" i="72"/>
  <c r="AB115" i="72" s="1"/>
  <c r="AA53" i="72"/>
  <c r="AB53" i="72" s="1"/>
  <c r="AA81" i="72"/>
  <c r="AB81" i="72" s="1"/>
  <c r="AA65" i="72"/>
  <c r="AB65" i="72" s="1"/>
  <c r="AD50" i="72"/>
  <c r="AA79" i="72"/>
  <c r="AB79" i="72" s="1"/>
  <c r="AA47" i="72"/>
  <c r="AB47" i="72" s="1"/>
  <c r="AA27" i="72"/>
  <c r="AB27" i="72" s="1"/>
  <c r="AA39" i="72"/>
  <c r="AB39" i="72" s="1"/>
  <c r="AA71" i="72"/>
  <c r="AB71" i="72" s="1"/>
  <c r="AA88" i="72"/>
  <c r="AB88" i="72" s="1"/>
  <c r="AA102" i="72"/>
  <c r="AB102" i="72" s="1"/>
  <c r="J20" i="127"/>
  <c r="K20" i="127" s="1"/>
  <c r="AA59" i="72"/>
  <c r="AB59" i="72" s="1"/>
  <c r="AA97" i="72"/>
  <c r="AB97" i="72" s="1"/>
  <c r="AA52" i="72"/>
  <c r="AB52" i="72" s="1"/>
  <c r="AA72" i="72"/>
  <c r="AB72" i="72" s="1"/>
  <c r="AA63" i="72"/>
  <c r="AB63" i="72" s="1"/>
  <c r="AA87" i="72"/>
  <c r="AB87" i="72" s="1"/>
  <c r="AA33" i="72"/>
  <c r="AB33" i="72" s="1"/>
  <c r="AA37" i="72"/>
  <c r="AB37" i="72" s="1"/>
  <c r="AA80" i="72"/>
  <c r="AB80" i="72" s="1"/>
  <c r="AA44" i="72"/>
  <c r="AB44" i="72" s="1"/>
  <c r="I20" i="127"/>
  <c r="AA41" i="72"/>
  <c r="AB41" i="72" s="1"/>
  <c r="AA21" i="72"/>
  <c r="AB21" i="72" s="1"/>
  <c r="AA78" i="72"/>
  <c r="AB78" i="72" s="1"/>
  <c r="AA95" i="72"/>
  <c r="AB95" i="72" s="1"/>
  <c r="AA75" i="72"/>
  <c r="AB75" i="72" s="1"/>
  <c r="AA112" i="72"/>
  <c r="AB112" i="72" s="1"/>
  <c r="AA100" i="72"/>
  <c r="AB100" i="72" s="1"/>
  <c r="AA77" i="72"/>
  <c r="AB77" i="72" s="1"/>
  <c r="AA107" i="72"/>
  <c r="AB107" i="72" s="1"/>
  <c r="AA51" i="72"/>
  <c r="AB51" i="72" s="1"/>
  <c r="AA69" i="72"/>
  <c r="AB69" i="72" s="1"/>
  <c r="AA25" i="72"/>
  <c r="AB25" i="72" s="1"/>
  <c r="AA56" i="72"/>
  <c r="AB56" i="72" s="1"/>
  <c r="G33" i="43"/>
  <c r="AB19" i="72" l="1"/>
  <c r="AA118" i="72"/>
  <c r="J19" i="127"/>
  <c r="K19" i="127" s="1"/>
  <c r="J16" i="127"/>
  <c r="K16" i="127" s="1"/>
  <c r="R20" i="127"/>
  <c r="J18" i="127"/>
  <c r="K18" i="127" s="1"/>
  <c r="J17" i="127"/>
  <c r="K17" i="127" s="1"/>
  <c r="AB118" i="72" l="1"/>
  <c r="G21" i="43"/>
  <c r="G24" i="43" l="1"/>
  <c r="G25" i="43"/>
  <c r="G26" i="43"/>
  <c r="G27"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G18" i="43" l="1"/>
  <c r="G20" i="43"/>
  <c r="G19" i="43"/>
  <c r="J43" i="43" l="1"/>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7" i="43"/>
  <c r="H28" i="43"/>
  <c r="H25" i="43"/>
  <c r="J28" i="43" l="1"/>
  <c r="K28" i="43" s="1"/>
  <c r="I28" i="43"/>
  <c r="J29" i="43"/>
  <c r="K29" i="43" s="1"/>
  <c r="I29" i="43"/>
  <c r="J26" i="43"/>
  <c r="K26" i="43" s="1"/>
  <c r="I26" i="43"/>
  <c r="J27" i="43"/>
  <c r="K27" i="43" s="1"/>
  <c r="I27" i="43"/>
  <c r="J25" i="43"/>
  <c r="K25" i="43" s="1"/>
  <c r="I25" i="43"/>
  <c r="J42" i="43" l="1"/>
  <c r="K42" i="43" l="1"/>
  <c r="E45" i="43"/>
  <c r="K43" i="43"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X19" i="72" l="1"/>
  <c r="Y19" i="72" l="1"/>
  <c r="AC19" i="72"/>
  <c r="X80" i="72"/>
  <c r="X59" i="72"/>
  <c r="X21" i="72"/>
  <c r="X32" i="72"/>
  <c r="X63" i="72"/>
  <c r="X97" i="72"/>
  <c r="X114" i="72"/>
  <c r="X36" i="72"/>
  <c r="X110" i="72"/>
  <c r="X22" i="72"/>
  <c r="X67" i="72"/>
  <c r="X77" i="72"/>
  <c r="X20" i="72"/>
  <c r="X31" i="72"/>
  <c r="X60" i="72"/>
  <c r="X82" i="72"/>
  <c r="X107" i="72"/>
  <c r="X65" i="72"/>
  <c r="X104" i="72"/>
  <c r="X29" i="72"/>
  <c r="X61" i="72"/>
  <c r="X74" i="72"/>
  <c r="X100" i="72"/>
  <c r="X93" i="72"/>
  <c r="X55" i="72"/>
  <c r="X95" i="72"/>
  <c r="X53" i="72"/>
  <c r="X76" i="72"/>
  <c r="X85" i="72"/>
  <c r="X51" i="72"/>
  <c r="X38" i="72"/>
  <c r="X49" i="72"/>
  <c r="X47" i="72"/>
  <c r="X56" i="72"/>
  <c r="X69" i="72"/>
  <c r="X46" i="72"/>
  <c r="X33" i="72"/>
  <c r="X102" i="72"/>
  <c r="X89" i="72"/>
  <c r="X24" i="72"/>
  <c r="X41" i="72"/>
  <c r="X39" i="72"/>
  <c r="X115" i="72"/>
  <c r="X37" i="72"/>
  <c r="X81" i="72"/>
  <c r="X72" i="72"/>
  <c r="X116" i="72"/>
  <c r="X23" i="72"/>
  <c r="X105" i="72"/>
  <c r="X78" i="72"/>
  <c r="X43" i="72"/>
  <c r="X75" i="72"/>
  <c r="X52" i="72"/>
  <c r="X96" i="72"/>
  <c r="X25" i="72"/>
  <c r="X91" i="72"/>
  <c r="X79" i="72"/>
  <c r="X87" i="72"/>
  <c r="X54" i="72"/>
  <c r="X44" i="72"/>
  <c r="X88" i="72"/>
  <c r="X27" i="72"/>
  <c r="X50" i="72"/>
  <c r="X117" i="72"/>
  <c r="X71" i="72"/>
  <c r="X112" i="72"/>
  <c r="X35" i="72"/>
  <c r="X118" i="72" l="1"/>
  <c r="W118" i="72" s="1"/>
  <c r="H19" i="127"/>
  <c r="Y61" i="72"/>
  <c r="AC61" i="72"/>
  <c r="Y37" i="72"/>
  <c r="AC37" i="72"/>
  <c r="Y110" i="72"/>
  <c r="AC110" i="72"/>
  <c r="Y97" i="72"/>
  <c r="AC97" i="72"/>
  <c r="Y32" i="72"/>
  <c r="AC32" i="72"/>
  <c r="Y80" i="72"/>
  <c r="AC80" i="72"/>
  <c r="Y87" i="72"/>
  <c r="AC87" i="72"/>
  <c r="Y91" i="72"/>
  <c r="AC91" i="72"/>
  <c r="Y89" i="72"/>
  <c r="AC89" i="72"/>
  <c r="Y49" i="72"/>
  <c r="AC49" i="72"/>
  <c r="Y78" i="72"/>
  <c r="AC78" i="72"/>
  <c r="Y38" i="72"/>
  <c r="AC38" i="72"/>
  <c r="Y55" i="72"/>
  <c r="AC55" i="72"/>
  <c r="Y107" i="72"/>
  <c r="AC107" i="72"/>
  <c r="Y77" i="72"/>
  <c r="AC77" i="72"/>
  <c r="Y71" i="72"/>
  <c r="AC71" i="72"/>
  <c r="Y27" i="72"/>
  <c r="AC27" i="72"/>
  <c r="Y56" i="72"/>
  <c r="AC56" i="72"/>
  <c r="Y31" i="72"/>
  <c r="AC31" i="72"/>
  <c r="Y22" i="72"/>
  <c r="AC22" i="72"/>
  <c r="Y69" i="72"/>
  <c r="AC69" i="72"/>
  <c r="Y51" i="72"/>
  <c r="AC51" i="72"/>
  <c r="Y54" i="72"/>
  <c r="AC54" i="72"/>
  <c r="Y43" i="72"/>
  <c r="AC43" i="72"/>
  <c r="Y24" i="72"/>
  <c r="AC24" i="72"/>
  <c r="Y76" i="72"/>
  <c r="AC76" i="72"/>
  <c r="Y104" i="72"/>
  <c r="AC104" i="72"/>
  <c r="Y60" i="72"/>
  <c r="AC60" i="72"/>
  <c r="Y20" i="72"/>
  <c r="AC20" i="72"/>
  <c r="Y67" i="72"/>
  <c r="AC67" i="72"/>
  <c r="Y114" i="72"/>
  <c r="AC114" i="72"/>
  <c r="Y21" i="72"/>
  <c r="AC21" i="72"/>
  <c r="Y23" i="72"/>
  <c r="AC23" i="72"/>
  <c r="Y72" i="72"/>
  <c r="AC72" i="72"/>
  <c r="Y33" i="72"/>
  <c r="AC33" i="72"/>
  <c r="Y117" i="72"/>
  <c r="AC117" i="72"/>
  <c r="Y88" i="72"/>
  <c r="AC88" i="72"/>
  <c r="Y96" i="72"/>
  <c r="AC96" i="72"/>
  <c r="Y79" i="72"/>
  <c r="AC79" i="72"/>
  <c r="Y25" i="72"/>
  <c r="AC25" i="72"/>
  <c r="Y52" i="72"/>
  <c r="AC52" i="72"/>
  <c r="Y41" i="72"/>
  <c r="AC41" i="72"/>
  <c r="H18" i="127"/>
  <c r="Y95" i="72"/>
  <c r="AC95" i="72"/>
  <c r="Y102" i="72"/>
  <c r="AC102" i="72"/>
  <c r="Y46" i="72"/>
  <c r="AC46" i="72"/>
  <c r="Y85" i="72"/>
  <c r="AC85" i="72"/>
  <c r="Y53" i="72"/>
  <c r="AC53" i="72"/>
  <c r="Y93" i="72"/>
  <c r="AC93" i="72"/>
  <c r="Y100" i="72"/>
  <c r="AC100" i="72"/>
  <c r="Y63" i="72"/>
  <c r="AC63" i="72"/>
  <c r="Y112" i="72"/>
  <c r="AC112" i="72"/>
  <c r="Y50" i="72"/>
  <c r="AC50" i="72"/>
  <c r="Y75" i="72"/>
  <c r="AC75" i="72"/>
  <c r="Y105" i="72"/>
  <c r="AC105" i="72"/>
  <c r="Y81" i="72"/>
  <c r="AC81" i="72"/>
  <c r="Y47" i="72"/>
  <c r="AC47" i="72"/>
  <c r="Y35" i="72"/>
  <c r="AC35" i="72"/>
  <c r="H16" i="127"/>
  <c r="Y44" i="72"/>
  <c r="AC44" i="72"/>
  <c r="Y116" i="72"/>
  <c r="AC116" i="72"/>
  <c r="Y115" i="72"/>
  <c r="AC115" i="72"/>
  <c r="Y39" i="72"/>
  <c r="AC39" i="72"/>
  <c r="Y74" i="72"/>
  <c r="AC74" i="72"/>
  <c r="Y29" i="72"/>
  <c r="AC29" i="72"/>
  <c r="Y65" i="72"/>
  <c r="AC65" i="72"/>
  <c r="Y82" i="72"/>
  <c r="AC82" i="72"/>
  <c r="Y36" i="72"/>
  <c r="AC36" i="72"/>
  <c r="H17" i="127"/>
  <c r="Y59" i="72"/>
  <c r="AC59" i="72"/>
  <c r="F19" i="43"/>
  <c r="H19" i="43" s="1"/>
  <c r="I19" i="43" s="1"/>
  <c r="F20" i="43"/>
  <c r="H20" i="43" s="1"/>
  <c r="J20" i="43" s="1"/>
  <c r="K20" i="43" s="1"/>
  <c r="F18" i="43"/>
  <c r="H18" i="43" s="1"/>
  <c r="I18" i="43" s="1"/>
  <c r="F14" i="43"/>
  <c r="F17" i="43"/>
  <c r="H17" i="43" s="1"/>
  <c r="I17" i="43" s="1"/>
  <c r="AC118" i="72" l="1"/>
  <c r="I18" i="127"/>
  <c r="R18" i="127"/>
  <c r="I17" i="127"/>
  <c r="R17" i="127"/>
  <c r="I16" i="127"/>
  <c r="R16" i="127"/>
  <c r="I19" i="127"/>
  <c r="R19" i="127"/>
  <c r="J18" i="43"/>
  <c r="K18" i="43" s="1"/>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F14" i="127" l="1"/>
  <c r="N20" i="123"/>
  <c r="G14" i="43"/>
  <c r="G14" i="127"/>
  <c r="H14" i="127"/>
  <c r="M258" i="123"/>
  <c r="Y14" i="123"/>
  <c r="Y21" i="123" s="1"/>
  <c r="F32" i="127"/>
  <c r="O20" i="123"/>
  <c r="Q20" i="123"/>
  <c r="R20" i="123" s="1"/>
  <c r="I14" i="127" l="1"/>
  <c r="F15" i="127"/>
  <c r="J14" i="127"/>
  <c r="H14" i="43"/>
  <c r="T20" i="123"/>
  <c r="V20" i="123" s="1"/>
  <c r="R258" i="123"/>
  <c r="S20" i="123"/>
  <c r="J32" i="127"/>
  <c r="K32" i="127" s="1"/>
  <c r="P20" i="123"/>
  <c r="H32" i="127"/>
  <c r="O258" i="123"/>
  <c r="F31" i="127"/>
  <c r="G32" i="127"/>
  <c r="M268" i="123"/>
  <c r="M265" i="123"/>
  <c r="L258" i="123"/>
  <c r="Z21" i="123"/>
  <c r="AA21" i="123" s="1"/>
  <c r="G16" i="43" l="1"/>
  <c r="G15" i="127"/>
  <c r="F13" i="127"/>
  <c r="F41" i="127" s="1"/>
  <c r="J15" i="127"/>
  <c r="J13" i="127" s="1"/>
  <c r="H15" i="127"/>
  <c r="J14" i="43"/>
  <c r="I14" i="43"/>
  <c r="K14" i="127"/>
  <c r="T128" i="72"/>
  <c r="R14" i="127"/>
  <c r="H31" i="127"/>
  <c r="I32" i="127"/>
  <c r="R32" i="127"/>
  <c r="F21" i="127"/>
  <c r="S94" i="118"/>
  <c r="G31" i="127"/>
  <c r="S258" i="123"/>
  <c r="S265" i="123"/>
  <c r="Q258" i="123"/>
  <c r="R268" i="123"/>
  <c r="N258" i="123"/>
  <c r="N269" i="123" s="1"/>
  <c r="O269" i="123" s="1"/>
  <c r="P265" i="123"/>
  <c r="O268" i="123"/>
  <c r="T258" i="123"/>
  <c r="X258" i="123" s="1"/>
  <c r="M260" i="123"/>
  <c r="O260" i="123" s="1"/>
  <c r="R260" i="123" s="1"/>
  <c r="M261" i="123"/>
  <c r="O261" i="123" s="1"/>
  <c r="R261" i="123" s="1"/>
  <c r="M259" i="123"/>
  <c r="I97" i="132" l="1"/>
  <c r="I101" i="132" s="1"/>
  <c r="F81" i="127"/>
  <c r="D76" i="127"/>
  <c r="F78" i="127"/>
  <c r="F77" i="127"/>
  <c r="K13" i="127"/>
  <c r="M17" i="127"/>
  <c r="K15" i="127"/>
  <c r="K14" i="43"/>
  <c r="G13" i="127"/>
  <c r="S90" i="118"/>
  <c r="U128" i="72"/>
  <c r="X127" i="72"/>
  <c r="I15" i="127"/>
  <c r="R15" i="127"/>
  <c r="H13" i="127"/>
  <c r="H41" i="127" s="1"/>
  <c r="I105" i="132" s="1"/>
  <c r="H16" i="43"/>
  <c r="G22" i="43"/>
  <c r="G30" i="43" s="1"/>
  <c r="G34" i="43" s="1"/>
  <c r="G41" i="43" s="1"/>
  <c r="G41" i="127"/>
  <c r="F70" i="127"/>
  <c r="G70" i="127" s="1"/>
  <c r="N43" i="127"/>
  <c r="AA94" i="118"/>
  <c r="Y94" i="118"/>
  <c r="S91" i="118"/>
  <c r="G21" i="127"/>
  <c r="F74" i="127"/>
  <c r="H74" i="127" s="1"/>
  <c r="O259" i="123"/>
  <c r="S101" i="118"/>
  <c r="M262" i="123"/>
  <c r="L262" i="123" s="1"/>
  <c r="H21" i="127"/>
  <c r="I31" i="127"/>
  <c r="J31" i="127"/>
  <c r="R31" i="127" s="1"/>
  <c r="J105" i="132" l="1"/>
  <c r="I103" i="132"/>
  <c r="G45" i="43"/>
  <c r="H41" i="43"/>
  <c r="J16" i="43"/>
  <c r="I16" i="43"/>
  <c r="H22" i="43"/>
  <c r="R13" i="127"/>
  <c r="AA90" i="118"/>
  <c r="I13" i="127"/>
  <c r="S88" i="118"/>
  <c r="Y90" i="118"/>
  <c r="N13" i="127"/>
  <c r="O13" i="127" s="1"/>
  <c r="Y91" i="118"/>
  <c r="AA91" i="118"/>
  <c r="S89" i="118"/>
  <c r="AI94" i="118"/>
  <c r="AN94" i="118" s="1"/>
  <c r="AG94" i="118"/>
  <c r="Y101" i="118"/>
  <c r="S97" i="118"/>
  <c r="AA101" i="118"/>
  <c r="I41" i="127"/>
  <c r="H70" i="127"/>
  <c r="I70" i="127" s="1"/>
  <c r="K31" i="127"/>
  <c r="J41" i="127"/>
  <c r="D77" i="127" s="1"/>
  <c r="I21" i="127"/>
  <c r="J21" i="127"/>
  <c r="K21" i="127" s="1"/>
  <c r="R259" i="123"/>
  <c r="R262" i="123" s="1"/>
  <c r="O262" i="123"/>
  <c r="R21" i="127" l="1"/>
  <c r="AI90" i="118"/>
  <c r="AG90" i="118"/>
  <c r="AN90" i="118" s="1"/>
  <c r="H30" i="43"/>
  <c r="I22" i="43"/>
  <c r="K22" i="43" s="1"/>
  <c r="K16" i="43"/>
  <c r="J22" i="43"/>
  <c r="J30" i="43" s="1"/>
  <c r="H45" i="43"/>
  <c r="J41" i="43"/>
  <c r="I41" i="43"/>
  <c r="N45" i="43" s="1"/>
  <c r="Y88" i="118"/>
  <c r="AA88" i="118"/>
  <c r="G48" i="43"/>
  <c r="F51" i="43"/>
  <c r="F52" i="43" s="1"/>
  <c r="Y97" i="118"/>
  <c r="S103" i="118"/>
  <c r="Y103" i="118" s="1"/>
  <c r="AI101" i="118"/>
  <c r="AG101" i="118"/>
  <c r="AA97" i="118"/>
  <c r="AQ97" i="118"/>
  <c r="AQ98" i="118"/>
  <c r="K41" i="127"/>
  <c r="J70" i="127"/>
  <c r="N41" i="127"/>
  <c r="N42" i="127" s="1"/>
  <c r="AP141" i="118"/>
  <c r="Y89" i="118"/>
  <c r="AA89" i="118"/>
  <c r="N262" i="123"/>
  <c r="W262" i="123"/>
  <c r="X262" i="123" s="1"/>
  <c r="AG91" i="118"/>
  <c r="AI91" i="118"/>
  <c r="AN91" i="118" s="1"/>
  <c r="Q262" i="123"/>
  <c r="S270" i="123"/>
  <c r="S262" i="123"/>
  <c r="R41" i="127"/>
  <c r="H48" i="43" l="1"/>
  <c r="G51" i="43"/>
  <c r="G52" i="43" s="1"/>
  <c r="I45" i="43"/>
  <c r="K41" i="43"/>
  <c r="N41" i="43" s="1"/>
  <c r="J45" i="43"/>
  <c r="K30" i="43"/>
  <c r="J34" i="43"/>
  <c r="AG88" i="118"/>
  <c r="AI88" i="118"/>
  <c r="I30" i="43"/>
  <c r="H34" i="43"/>
  <c r="I34" i="43" s="1"/>
  <c r="K34" i="43" s="1"/>
  <c r="AG97" i="118"/>
  <c r="AA103" i="118"/>
  <c r="AN101" i="118"/>
  <c r="AI97" i="118"/>
  <c r="AN97" i="118" s="1"/>
  <c r="AP97" i="118"/>
  <c r="AI89" i="118"/>
  <c r="AG89" i="118"/>
  <c r="K70" i="127"/>
  <c r="J73" i="127"/>
  <c r="J48" i="43" l="1"/>
  <c r="K45" i="43"/>
  <c r="AI103" i="118"/>
  <c r="AN103" i="118" s="1"/>
  <c r="AG103" i="118"/>
  <c r="U135" i="118" l="1"/>
  <c r="AD135" i="118" s="1"/>
  <c r="U134" i="118"/>
  <c r="AD134" i="118" s="1"/>
  <c r="U132" i="118"/>
  <c r="AD132" i="118" s="1"/>
  <c r="U131" i="118"/>
  <c r="AD131" i="118" s="1"/>
  <c r="U133" i="118"/>
  <c r="AD133" i="118" s="1"/>
  <c r="AD136" i="118" l="1"/>
  <c r="U136" i="118"/>
  <c r="AQ144" i="118" l="1"/>
  <c r="AQ129" i="118"/>
  <c r="AQ137" i="118"/>
  <c r="F101" i="132"/>
  <c r="F103" i="132" l="1"/>
  <c r="G102" i="132"/>
  <c r="J98" i="132"/>
  <c r="J97" i="132"/>
  <c r="J99" i="132"/>
  <c r="F110" i="132"/>
  <c r="F112" i="132" s="1"/>
  <c r="J83" i="132"/>
  <c r="J91" i="132"/>
  <c r="J76" i="132"/>
  <c r="G73" i="132"/>
  <c r="G81" i="132"/>
  <c r="G89" i="132"/>
  <c r="G97" i="132"/>
  <c r="G68" i="132"/>
  <c r="J87" i="132"/>
  <c r="G69" i="132"/>
  <c r="H69" i="132" s="1"/>
  <c r="J75" i="132"/>
  <c r="G80" i="132"/>
  <c r="J84" i="132"/>
  <c r="J92" i="132"/>
  <c r="J69" i="132"/>
  <c r="J68" i="132"/>
  <c r="K68" i="132" s="1"/>
  <c r="N68" i="132" s="1"/>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G77" i="132"/>
  <c r="J88" i="132"/>
  <c r="G78" i="132"/>
  <c r="J89" i="132"/>
  <c r="G79" i="132"/>
  <c r="J82" i="132"/>
  <c r="G88" i="132"/>
  <c r="J74" i="132"/>
  <c r="J80" i="132"/>
  <c r="G70" i="132"/>
  <c r="J81" i="132"/>
  <c r="J90" i="132"/>
  <c r="G96" i="132"/>
  <c r="L95" i="132" l="1"/>
  <c r="G103" i="132"/>
  <c r="J103" i="132"/>
  <c r="L88" i="132"/>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98" i="132"/>
  <c r="L75" i="132"/>
  <c r="L76" i="132"/>
  <c r="L74" i="132"/>
  <c r="L97" i="132"/>
  <c r="L87" i="132"/>
  <c r="L91" i="132"/>
  <c r="G101" i="132"/>
  <c r="H68"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K97" i="132"/>
  <c r="M97" i="132" l="1"/>
  <c r="K98" i="132"/>
  <c r="M98" i="132" l="1"/>
  <c r="K99" i="132"/>
  <c r="J101" i="132" s="1"/>
  <c r="M99" i="1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<sst xmlns="http://schemas.openxmlformats.org/spreadsheetml/2006/main" count="22551" uniqueCount="4383">
  <si>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</si>
  <si>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</si>
  <si>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</si>
  <si>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</si>
  <si>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</si>
  <si>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</si>
  <si>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</si>
  <si>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</si>
  <si>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</si>
  <si>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</si>
  <si>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</si>
  <si>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</si>
  <si>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</si>
  <si>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</si>
  <si>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</si>
  <si>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</si>
  <si>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</si>
  <si>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</si>
  <si>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</si>
  <si>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</si>
  <si>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</si>
  <si>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</si>
  <si>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</si>
  <si>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</si>
  <si>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</si>
  <si>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</si>
  <si>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</si>
  <si>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</si>
  <si>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</si>
  <si>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</si>
  <si>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</si>
  <si>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</si>
  <si>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</si>
  <si>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</si>
  <si>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</si>
  <si>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</si>
  <si>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</si>
  <si>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</si>
  <si>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</si>
  <si>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</si>
  <si>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</si>
  <si>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</si>
  <si>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</si>
  <si>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</si>
  <si>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</si>
  <si>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</si>
  <si>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</si>
  <si>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</si>
  <si>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</si>
  <si>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</si>
  <si>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</si>
  <si>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</si>
  <si>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</si>
  <si>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</si>
  <si>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</si>
  <si>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</si>
  <si>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</si>
  <si>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</si>
  <si>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</si>
  <si>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</si>
  <si>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</si>
  <si>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</si>
  <si>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</si>
  <si>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</si>
  <si>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</si>
  <si>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</si>
  <si>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</si>
  <si>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</si>
  <si>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</si>
  <si>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</si>
  <si>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</si>
  <si>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</si>
  <si>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</si>
  <si>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</si>
  <si>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</si>
  <si>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</si>
  <si>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</si>
  <si>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</si>
  <si>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</si>
  <si>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</si>
  <si>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</si>
  <si>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</si>
  <si>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</si>
  <si>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</si>
  <si>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</si>
  <si>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</si>
  <si>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</si>
  <si>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</si>
  <si>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</si>
  <si>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</si>
  <si>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</si>
  <si>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</si>
  <si>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</si>
  <si>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</si>
  <si>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</si>
  <si>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</si>
  <si>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</si>
  <si>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</si>
  <si>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</si>
  <si>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</si>
  <si>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</si>
  <si>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</si>
  <si>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</si>
  <si>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</si>
  <si>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</si>
  <si>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</si>
  <si>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</si>
  <si>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</si>
  <si>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</si>
  <si>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</si>
  <si>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</si>
  <si>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</si>
  <si>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</si>
  <si>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</si>
  <si>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</si>
  <si>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</si>
  <si>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</si>
  <si>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</si>
  <si>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</si>
  <si>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</si>
  <si>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</si>
  <si>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</si>
  <si>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</si>
  <si>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</si>
  <si>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</si>
  <si>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</si>
  <si>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</si>
  <si>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</si>
  <si>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</si>
  <si>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</si>
  <si>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</si>
  <si>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</si>
  <si>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</si>
  <si>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</si>
  <si>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</si>
  <si>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</si>
  <si>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</si>
  <si>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</si>
  <si>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</si>
  <si>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</si>
  <si>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</si>
  <si>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</si>
  <si>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</si>
  <si>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</si>
  <si>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</si>
  <si>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</si>
  <si>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</si>
  <si>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</si>
  <si>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</si>
  <si>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</si>
  <si>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</si>
  <si>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</si>
  <si>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</si>
  <si>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</si>
  <si>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</si>
  <si>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</si>
  <si>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</si>
  <si>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</si>
  <si>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</si>
  <si>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</si>
  <si>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</si>
  <si>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</si>
  <si>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</si>
  <si>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</si>
  <si>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</si>
  <si>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</si>
  <si>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</si>
  <si>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</si>
  <si>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</si>
  <si>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</si>
  <si>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</si>
  <si>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</si>
  <si>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</si>
  <si>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</si>
  <si>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</si>
  <si>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</si>
  <si>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</si>
  <si>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</si>
  <si>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</si>
  <si>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</si>
  <si>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</si>
  <si>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</si>
  <si>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</si>
  <si>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</si>
  <si>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</si>
  <si>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</si>
  <si>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</si>
  <si>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</si>
  <si>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</si>
  <si>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</si>
  <si>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</si>
  <si>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</si>
  <si>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</si>
  <si>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</si>
  <si>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</si>
  <si>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</si>
  <si>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</si>
  <si>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</si>
  <si>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</si>
  <si>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</si>
  <si>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</si>
  <si>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</si>
  <si>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</si>
  <si>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</si>
  <si>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</si>
  <si>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</si>
  <si>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</si>
  <si>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</si>
  <si>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</si>
  <si>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</si>
  <si>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</si>
  <si>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</si>
  <si>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</si>
  <si>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</si>
  <si>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</si>
  <si>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</si>
  <si>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</si>
  <si>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</si>
  <si>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</si>
  <si>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</si>
  <si>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</si>
  <si>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</si>
  <si>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</si>
  <si>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</si>
  <si>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</si>
  <si>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</si>
  <si>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</si>
  <si>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</si>
  <si>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</si>
  <si>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</si>
  <si>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</si>
  <si>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</si>
  <si>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</si>
  <si>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</si>
  <si>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</si>
  <si>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</si>
  <si>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</si>
  <si>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</si>
  <si>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</si>
  <si>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</si>
  <si>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</si>
  <si>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</si>
  <si>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</si>
  <si>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</si>
  <si>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</si>
  <si>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</si>
  <si>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</si>
  <si>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</si>
  <si>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</si>
  <si>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</si>
  <si>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</si>
  <si>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</si>
  <si>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</si>
  <si>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</si>
  <si>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</si>
  <si>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</si>
  <si>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</si>
  <si>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</si>
  <si>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</si>
  <si>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</si>
  <si>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</si>
  <si>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</si>
  <si>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</si>
  <si>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</si>
  <si>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</si>
  <si>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</si>
  <si>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</si>
  <si>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</si>
  <si>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</si>
  <si>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</si>
  <si>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</si>
  <si>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</si>
  <si>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</si>
  <si>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</si>
  <si>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</si>
  <si>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</si>
  <si>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</si>
  <si>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</si>
  <si>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</si>
  <si>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</si>
  <si>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</si>
  <si>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</si>
  <si>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</si>
  <si>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</si>
  <si>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</si>
  <si>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</si>
  <si>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</si>
  <si>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</si>
  <si>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</si>
  <si>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</si>
  <si>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</si>
  <si>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</si>
  <si>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</si>
  <si>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</si>
  <si>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</si>
  <si>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</si>
  <si>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</si>
  <si>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</si>
  <si>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</si>
  <si>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</si>
  <si>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</si>
  <si>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</si>
  <si>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</si>
  <si>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</si>
  <si>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</si>
  <si>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</si>
  <si>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</si>
  <si>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</si>
  <si>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</si>
  <si>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</si>
  <si>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</si>
  <si>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</si>
  <si>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</si>
  <si>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</si>
  <si>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</si>
  <si>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</si>
  <si>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</si>
  <si>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</si>
  <si>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</si>
  <si>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</si>
  <si>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</si>
  <si>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</si>
  <si>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</si>
  <si>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</si>
  <si>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</si>
  <si>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</si>
  <si>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</si>
  <si>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</si>
  <si>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</si>
  <si>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</si>
  <si>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</si>
  <si>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</si>
  <si>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</si>
  <si>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</si>
  <si>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</si>
  <si>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</si>
  <si>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</si>
  <si>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</si>
  <si>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</si>
  <si>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</si>
  <si>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</si>
  <si>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</si>
  <si>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</si>
  <si>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</si>
  <si>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</si>
  <si>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</si>
  <si>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</si>
  <si>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</si>
  <si>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</si>
  <si>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</si>
  <si>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</si>
  <si>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</si>
  <si>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</si>
  <si>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</si>
  <si>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</si>
  <si>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</si>
  <si>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</si>
  <si>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</si>
  <si>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</si>
  <si>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</si>
  <si>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</si>
  <si>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</si>
  <si>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</si>
  <si>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</si>
  <si>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</si>
  <si>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</si>
  <si>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</si>
  <si>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</si>
  <si>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</si>
  <si>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</si>
  <si>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</si>
  <si>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</si>
  <si>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</si>
  <si>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</si>
  <si>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</si>
  <si>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</si>
  <si>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</si>
  <si>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</si>
  <si>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</si>
  <si>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</si>
  <si>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</si>
  <si>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</si>
  <si>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</si>
  <si>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</si>
  <si>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</si>
  <si>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</si>
  <si>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</si>
  <si>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</si>
  <si>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</si>
  <si>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</si>
  <si>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</si>
  <si>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</si>
  <si>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</si>
  <si>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</si>
  <si>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</si>
  <si>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</si>
  <si>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</si>
  <si>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</si>
  <si>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</si>
  <si>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</si>
  <si>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</si>
  <si>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</si>
  <si>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</si>
  <si>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</si>
  <si>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</si>
  <si>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</si>
  <si>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</si>
  <si>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</si>
  <si>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</si>
  <si>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</si>
  <si>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</si>
  <si>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</si>
  <si>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</si>
  <si>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</si>
  <si>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</si>
  <si>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</si>
  <si>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</si>
  <si>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</si>
  <si>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</si>
  <si>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</si>
  <si>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</si>
  <si>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</si>
  <si>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</si>
  <si>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</si>
  <si>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</si>
  <si>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</si>
  <si>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</si>
  <si>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</si>
  <si>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</si>
  <si>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</si>
  <si>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</si>
  <si>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</si>
  <si>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</si>
  <si>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</si>
  <si>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</si>
  <si>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</si>
  <si>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</si>
  <si>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</si>
  <si>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</si>
  <si>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</si>
  <si>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</si>
  <si>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</si>
  <si>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</si>
  <si>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</si>
  <si>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</si>
  <si>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</si>
  <si>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</si>
  <si>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</si>
  <si>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</si>
  <si>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</si>
  <si>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</si>
  <si>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</si>
  <si>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</si>
  <si>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</si>
  <si>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</si>
  <si>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</si>
  <si>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</si>
  <si>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</si>
  <si>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</si>
  <si>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</si>
  <si>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</si>
  <si>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</si>
  <si>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</si>
  <si>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</si>
  <si>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</si>
  <si>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</si>
  <si>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</si>
  <si>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</si>
  <si>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</si>
  <si>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</si>
  <si>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</si>
  <si>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</si>
  <si>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</si>
  <si>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</si>
  <si>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</si>
  <si>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</si>
  <si>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</si>
  <si>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</si>
  <si>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</si>
  <si>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</si>
  <si>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</si>
  <si>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</si>
  <si>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</si>
  <si>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</si>
  <si>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</si>
  <si>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</si>
  <si>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</si>
  <si>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</si>
  <si>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</si>
  <si>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</si>
  <si>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</si>
  <si>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</si>
  <si>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</si>
  <si>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</si>
  <si>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</si>
  <si>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</si>
  <si>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</si>
  <si>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</si>
  <si>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</si>
  <si>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</si>
  <si>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</si>
  <si>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</si>
  <si>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</si>
  <si>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</si>
  <si>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</si>
  <si>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</si>
  <si>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</si>
  <si>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</si>
  <si>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</si>
  <si>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</si>
  <si>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</si>
  <si>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</si>
  <si>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</si>
  <si>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</si>
  <si>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</si>
  <si>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</si>
  <si>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</si>
  <si>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</si>
  <si>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</si>
  <si>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</si>
  <si>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</si>
  <si>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</si>
  <si>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</si>
  <si>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</si>
  <si>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</si>
  <si>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</si>
  <si>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</si>
  <si>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</si>
  <si>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</si>
  <si>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</si>
  <si>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</si>
  <si>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</si>
  <si>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</si>
  <si>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</si>
  <si>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</si>
  <si>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</si>
  <si>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</si>
  <si>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</si>
  <si>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</si>
  <si>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</si>
  <si>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</si>
  <si>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</si>
  <si>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</si>
  <si>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</si>
  <si>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</si>
  <si>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</si>
  <si>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</si>
  <si>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</si>
  <si>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</si>
  <si>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</si>
  <si>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</si>
  <si>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</si>
  <si>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</si>
  <si>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</si>
  <si>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</si>
  <si>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</si>
  <si>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</si>
  <si>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</si>
  <si>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</si>
  <si>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</si>
  <si>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</si>
  <si>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</si>
  <si>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</si>
  <si>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</si>
  <si>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</si>
  <si>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</si>
  <si>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</si>
  <si>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</si>
  <si>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</si>
  <si>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</si>
  <si>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</si>
  <si>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</si>
  <si>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</si>
  <si>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</si>
  <si>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</si>
  <si>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</si>
  <si>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</si>
  <si>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</si>
  <si>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</si>
  <si>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</si>
  <si>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</si>
  <si>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</si>
  <si>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</si>
  <si>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</si>
  <si>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</si>
  <si>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</si>
  <si>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</si>
  <si>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</si>
  <si>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</si>
  <si>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</si>
  <si>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</si>
  <si>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</si>
  <si>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</si>
  <si>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</si>
  <si>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</si>
  <si>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</si>
  <si>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</si>
  <si>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</si>
  <si>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</si>
  <si>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</si>
  <si>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</si>
  <si>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</si>
  <si>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</si>
  <si>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</si>
  <si>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</si>
  <si>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</si>
  <si>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</si>
  <si>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</si>
  <si>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</si>
  <si>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</si>
  <si>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</si>
  <si>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</si>
  <si>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</si>
  <si>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</si>
  <si>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</si>
  <si>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</si>
  <si>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</si>
  <si>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</si>
  <si>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</si>
  <si>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</si>
  <si>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</si>
  <si>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</si>
  <si>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</si>
  <si>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</si>
  <si>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</si>
  <si>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</si>
  <si>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</si>
  <si>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</si>
  <si>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</si>
  <si>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</si>
  <si>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</si>
  <si>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</si>
  <si>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</si>
  <si>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</si>
  <si>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</si>
  <si>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</si>
  <si>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</si>
  <si>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</si>
  <si>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</si>
  <si>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</si>
  <si>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</si>
  <si>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</si>
  <si>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</si>
  <si>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</si>
  <si>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</si>
  <si>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</si>
  <si>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</si>
  <si>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</si>
  <si>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</si>
  <si>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</si>
  <si>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</si>
  <si>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</si>
  <si>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</si>
  <si>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</si>
  <si>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</si>
  <si>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</si>
  <si>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</si>
  <si>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</si>
  <si>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</si>
  <si>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</si>
  <si>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</si>
  <si>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</si>
  <si>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</si>
  <si>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</si>
  <si>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</si>
  <si>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</si>
  <si>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</si>
  <si>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</si>
  <si>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</si>
  <si>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</si>
  <si>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</si>
  <si>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</si>
  <si>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</si>
  <si>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</si>
  <si>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</si>
  <si>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</si>
  <si>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</si>
  <si>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</si>
  <si>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</si>
  <si>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</si>
  <si>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</si>
  <si>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</si>
  <si>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</si>
  <si>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</si>
  <si>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</si>
  <si>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</si>
  <si>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</si>
  <si>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</si>
  <si>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</si>
  <si>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</si>
  <si>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</si>
  <si>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</si>
  <si>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</si>
  <si>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</si>
  <si>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</si>
  <si>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</si>
  <si>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</si>
  <si>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</si>
  <si>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</si>
  <si>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</si>
  <si>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</si>
  <si>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</si>
  <si>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</si>
  <si>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</si>
  <si>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</si>
  <si>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</si>
  <si>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</si>
  <si>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</si>
  <si>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</si>
  <si>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</si>
  <si>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</si>
  <si>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</si>
  <si>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</si>
  <si>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</si>
  <si>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</si>
  <si>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</si>
  <si>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</si>
  <si>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</si>
  <si>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</si>
  <si>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</si>
  <si>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</si>
  <si>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</si>
  <si>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</si>
  <si>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</si>
  <si>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</si>
  <si>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</si>
  <si>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</si>
  <si>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</si>
  <si>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</si>
  <si>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</si>
  <si>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</si>
  <si>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</si>
  <si>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</si>
  <si>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</si>
  <si>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</si>
  <si>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</si>
  <si>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</si>
  <si>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</si>
  <si>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</si>
  <si>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</si>
  <si>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</si>
  <si>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</si>
  <si>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</si>
  <si>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</si>
  <si>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</si>
  <si>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</si>
  <si>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</si>
  <si>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</si>
  <si>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</si>
  <si>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</si>
  <si>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</si>
  <si>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</si>
  <si>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</si>
  <si>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</si>
  <si>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</si>
  <si>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</si>
  <si>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</si>
  <si>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</si>
  <si>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</si>
  <si>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</si>
  <si>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</si>
  <si>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</si>
  <si>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</si>
  <si>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</si>
  <si>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</si>
  <si>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</si>
  <si>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</si>
  <si>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</si>
  <si>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</si>
  <si>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</si>
  <si>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</si>
  <si>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</si>
  <si>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</si>
  <si>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</si>
  <si>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</si>
  <si>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</si>
  <si>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</si>
  <si>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</si>
  <si>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</si>
  <si>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</si>
  <si>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</si>
  <si>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</si>
  <si>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</si>
  <si>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</si>
  <si>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</si>
  <si>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</si>
  <si>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</si>
  <si>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</si>
  <si>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</si>
  <si>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</si>
  <si>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</si>
  <si>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</si>
  <si>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</si>
  <si>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</si>
  <si>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</si>
  <si>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</si>
  <si>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</si>
  <si>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</si>
  <si>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</si>
  <si>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</si>
  <si>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</si>
  <si>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</si>
  <si>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</si>
  <si>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</si>
  <si>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</si>
  <si>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</si>
  <si>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</si>
  <si>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</si>
  <si>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</si>
  <si>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</si>
  <si>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</si>
  <si>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</si>
  <si>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</si>
  <si>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</si>
  <si>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</si>
  <si>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</si>
  <si>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</si>
  <si>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</si>
  <si>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</si>
  <si>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</si>
  <si>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</si>
  <si>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</si>
  <si>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</si>
  <si>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</si>
  <si>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</si>
  <si>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</si>
  <si>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</si>
  <si>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</si>
  <si>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</si>
  <si>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</si>
  <si>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</si>
  <si>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</si>
  <si>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</si>
  <si>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</si>
  <si>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</si>
  <si>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</si>
  <si>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</si>
  <si>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</si>
  <si>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</si>
  <si>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</si>
  <si>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</si>
  <si>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</si>
  <si>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</si>
  <si>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</si>
  <si>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</si>
  <si>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</si>
  <si>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</si>
  <si>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</si>
  <si>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</si>
  <si>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</si>
  <si>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</si>
  <si>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</si>
  <si>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</si>
  <si>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</si>
  <si>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</si>
  <si>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</si>
  <si>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</si>
  <si>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</si>
  <si>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</si>
  <si>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</si>
  <si>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</si>
  <si>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</si>
  <si>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</si>
  <si>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</si>
  <si>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</si>
  <si>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</si>
  <si>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</si>
  <si>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</si>
  <si>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</si>
  <si>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</si>
  <si>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</si>
  <si>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</si>
  <si>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</si>
  <si>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</si>
  <si>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</si>
  <si>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</si>
  <si>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</si>
  <si>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</si>
  <si>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</si>
  <si>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</si>
  <si>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</si>
  <si>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</si>
  <si>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</si>
  <si>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</si>
  <si>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</si>
  <si>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</si>
  <si>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</si>
  <si>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</si>
  <si>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</si>
  <si>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</si>
  <si>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</si>
  <si>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</si>
  <si>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</si>
  <si>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</si>
  <si>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</si>
  <si>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</si>
  <si>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</si>
  <si>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</si>
  <si>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</si>
  <si>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</si>
  <si>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</si>
  <si>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</si>
  <si>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</si>
  <si>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</si>
  <si>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</si>
  <si>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</si>
  <si>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</si>
  <si>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</si>
  <si>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</si>
  <si>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</si>
  <si>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</si>
  <si>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</si>
  <si>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</si>
  <si>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</si>
  <si>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</si>
  <si>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</si>
  <si>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</si>
  <si>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</si>
  <si>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</si>
  <si>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</si>
  <si>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</si>
  <si>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</si>
  <si>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</si>
  <si>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</si>
  <si>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</si>
  <si>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</si>
  <si>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</si>
  <si>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</si>
  <si>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</si>
  <si>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</si>
  <si>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</si>
  <si>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</si>
  <si>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</si>
  <si>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</si>
  <si>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</si>
  <si>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</si>
  <si>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</si>
  <si>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</si>
  <si>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</si>
  <si>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</si>
  <si>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</si>
  <si>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</si>
  <si>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</si>
  <si>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</si>
  <si>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</si>
  <si>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</si>
  <si>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</si>
  <si>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</si>
  <si>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</si>
  <si>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</si>
  <si>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</si>
  <si>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</si>
  <si>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</si>
  <si>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</si>
  <si>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</si>
  <si>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</si>
  <si>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</si>
  <si>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</si>
  <si>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</si>
  <si>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</si>
  <si>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</si>
  <si>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</si>
  <si>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</si>
  <si>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</si>
  <si>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</si>
  <si>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</si>
  <si>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</si>
  <si>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</si>
  <si>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</si>
  <si>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</si>
  <si>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</si>
  <si>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</si>
  <si>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</si>
  <si>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</si>
  <si>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</si>
  <si>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</si>
  <si>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</si>
  <si>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</si>
  <si>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</si>
  <si>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</si>
  <si>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</si>
  <si>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</si>
  <si>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</si>
  <si>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</si>
  <si>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</si>
  <si>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</si>
  <si>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</si>
  <si>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</si>
  <si>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</si>
  <si>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</si>
  <si>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</si>
  <si>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</si>
  <si>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</si>
  <si>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</si>
  <si>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</si>
  <si>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</si>
  <si>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</si>
  <si>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</si>
  <si>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</si>
  <si>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</si>
  <si>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</si>
  <si>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</si>
  <si>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</si>
  <si>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</si>
  <si>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</si>
  <si>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</si>
  <si>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</si>
  <si>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</si>
  <si>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</si>
  <si>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</si>
  <si>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</si>
  <si>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</si>
  <si>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</si>
  <si>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</si>
  <si>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</si>
  <si>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</si>
  <si>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</si>
  <si>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</si>
  <si>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</si>
  <si>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</si>
  <si>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</si>
  <si>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</si>
  <si>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</si>
  <si>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</si>
  <si>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</si>
  <si>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</si>
  <si>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</si>
  <si>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</si>
  <si>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</si>
  <si>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</si>
  <si>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</si>
  <si>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</si>
  <si>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</si>
  <si>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</si>
  <si>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</si>
  <si>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</si>
  <si>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</si>
  <si>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</si>
  <si>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</si>
  <si>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</si>
  <si>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</si>
  <si>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</si>
  <si>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</si>
  <si>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</si>
  <si>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</si>
  <si>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</si>
  <si>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</si>
  <si>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</si>
  <si>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</si>
  <si>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</si>
  <si>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</si>
  <si>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</si>
  <si>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</si>
  <si>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</si>
  <si>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</si>
  <si>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</si>
  <si>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</si>
  <si>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</si>
  <si>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</si>
  <si>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</si>
  <si>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</si>
  <si>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</si>
  <si>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</si>
  <si>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</si>
  <si>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</si>
  <si>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</si>
  <si>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</si>
  <si>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</si>
  <si>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</si>
  <si>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</si>
  <si>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</si>
  <si>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</si>
  <si>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</si>
  <si>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</si>
  <si>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</si>
  <si>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</si>
  <si>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</si>
  <si>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</si>
  <si>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</si>
  <si>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</si>
  <si>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</si>
  <si>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</si>
  <si>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</si>
  <si>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</si>
  <si>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</si>
  <si>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</si>
  <si>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</si>
  <si>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</si>
  <si>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</si>
  <si>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</si>
  <si>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</si>
  <si>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</si>
  <si>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</si>
  <si>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</si>
  <si>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</si>
  <si>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</si>
  <si>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</si>
  <si>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</si>
  <si>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</si>
  <si>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</si>
  <si>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</si>
  <si>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</si>
  <si>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</si>
  <si>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</si>
  <si>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</si>
  <si>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</si>
  <si>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</si>
  <si>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</si>
  <si>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</si>
  <si>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</si>
  <si>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</si>
  <si>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</si>
  <si>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</si>
  <si>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</si>
  <si>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</si>
  <si>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</si>
  <si>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</si>
  <si>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</si>
  <si>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</si>
  <si>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</si>
  <si>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</si>
  <si>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</si>
  <si>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</si>
  <si>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</si>
  <si>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</si>
  <si>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</si>
  <si>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</si>
  <si>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</si>
  <si>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</si>
  <si>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</si>
  <si>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</si>
  <si>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</si>
  <si>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</si>
  <si>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</si>
  <si>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</si>
  <si>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</si>
  <si>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</si>
  <si>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</si>
  <si>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</si>
  <si>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</si>
  <si>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</si>
  <si>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</si>
  <si>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</si>
  <si>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</si>
  <si>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</si>
  <si>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</si>
  <si>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</si>
  <si>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</si>
  <si>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</si>
  <si>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</si>
  <si>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</si>
  <si>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</si>
  <si>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</si>
  <si>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</si>
  <si>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</si>
  <si>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</si>
  <si>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</si>
  <si>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</si>
  <si>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</si>
  <si>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</si>
  <si>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</si>
  <si>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</si>
  <si>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</si>
  <si>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</si>
  <si>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</si>
  <si>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</si>
  <si>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</si>
  <si>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</si>
  <si>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</si>
  <si>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</si>
  <si>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</si>
  <si>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</si>
  <si>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</si>
  <si>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</si>
  <si>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</si>
  <si>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</si>
  <si>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</si>
  <si>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</si>
  <si>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</si>
  <si>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</si>
  <si>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</si>
  <si>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</si>
  <si>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</si>
  <si>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</si>
  <si>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</si>
  <si>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</si>
  <si>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</si>
  <si>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</si>
  <si>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</si>
  <si>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</si>
  <si>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</si>
  <si>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</si>
  <si>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</si>
  <si>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</si>
  <si>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</si>
  <si>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</si>
  <si>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</si>
  <si>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</si>
  <si>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</si>
  <si>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</si>
  <si>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</si>
  <si>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</si>
  <si>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</si>
  <si>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</si>
  <si>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</si>
  <si>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</si>
  <si>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</si>
  <si>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</si>
  <si>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</si>
  <si>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</si>
  <si>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</si>
  <si>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</si>
  <si>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</si>
  <si>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</si>
  <si>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</si>
  <si>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</si>
  <si>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</si>
  <si>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</si>
  <si>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</si>
  <si>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</si>
  <si>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</si>
  <si>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</si>
  <si>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</si>
  <si>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</si>
  <si>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</si>
  <si>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</si>
  <si>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</si>
  <si>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</si>
  <si>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</si>
  <si>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</si>
  <si>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</si>
  <si>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</si>
  <si>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</si>
  <si>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</si>
  <si>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</si>
  <si>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</si>
  <si>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</si>
  <si>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</si>
  <si>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</si>
  <si>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</si>
  <si>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</si>
  <si>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</si>
  <si>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</si>
  <si>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</si>
  <si>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</si>
  <si>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</si>
  <si>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</si>
  <si>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</si>
  <si>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</si>
  <si>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</si>
  <si>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</si>
  <si>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</si>
  <si>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</si>
  <si>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</si>
  <si>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</si>
  <si>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</si>
  <si>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</si>
  <si>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</si>
  <si>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</si>
  <si>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</si>
  <si>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</si>
  <si>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</si>
  <si>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</si>
  <si>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</si>
  <si>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</si>
  <si>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</si>
  <si>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</si>
  <si>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</si>
  <si>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</si>
  <si>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</si>
  <si>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</si>
  <si>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</si>
  <si>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</si>
  <si>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</si>
  <si>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</si>
  <si>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</si>
  <si>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</si>
  <si>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</si>
  <si>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</si>
  <si>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</si>
  <si>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</si>
  <si>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</si>
  <si>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</si>
  <si>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</si>
  <si>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</si>
  <si>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</si>
  <si>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</si>
  <si>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</si>
  <si>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</si>
  <si>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</si>
  <si>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</si>
  <si>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</si>
  <si>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</si>
  <si>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</si>
  <si>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</si>
  <si>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</si>
  <si>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</si>
  <si>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</si>
  <si>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</si>
  <si>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</si>
  <si>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</si>
  <si>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</si>
  <si>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</si>
  <si>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</si>
  <si>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</si>
  <si>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</si>
  <si>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</si>
  <si>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</si>
  <si>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</si>
  <si>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</si>
  <si>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</si>
  <si>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</si>
  <si>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</si>
  <si>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</si>
  <si>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</si>
  <si>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</si>
  <si>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</si>
  <si>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</si>
  <si>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</si>
  <si>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</si>
  <si>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</si>
  <si>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</si>
  <si>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</si>
  <si>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</si>
  <si>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</si>
  <si>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</si>
  <si>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</si>
  <si>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</si>
  <si>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</si>
  <si>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</si>
  <si>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</si>
  <si>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</si>
  <si>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</si>
  <si>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</si>
  <si>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</si>
  <si>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</si>
  <si>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</si>
  <si>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</si>
  <si>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</si>
  <si>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</si>
  <si>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</si>
  <si>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</si>
  <si>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</si>
  <si>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</si>
  <si>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</si>
  <si>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</si>
  <si>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</si>
  <si>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</si>
  <si>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</si>
  <si>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</si>
  <si>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</si>
  <si>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</si>
  <si>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</si>
  <si>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</si>
  <si>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</si>
  <si>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</si>
  <si>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</si>
  <si>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</si>
  <si>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</si>
  <si>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</si>
  <si>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</si>
  <si>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</si>
  <si>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</si>
  <si>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</si>
  <si>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</si>
  <si>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</si>
  <si>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</si>
  <si>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</si>
  <si>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</si>
  <si>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</si>
  <si>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</si>
  <si>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</si>
  <si>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</si>
  <si>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</si>
  <si>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</si>
  <si>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</si>
  <si>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</si>
  <si>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</si>
  <si>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</si>
  <si>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</si>
  <si>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</si>
  <si>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</si>
  <si>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</si>
  <si>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</si>
  <si>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</si>
  <si>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</si>
  <si>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</si>
  <si>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</si>
  <si>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</si>
  <si>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</si>
  <si>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</si>
  <si>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</si>
  <si>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</si>
  <si>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</si>
  <si>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</si>
  <si>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</si>
  <si>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</si>
  <si>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</si>
  <si>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</si>
  <si>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</si>
  <si>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</si>
  <si>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</si>
  <si>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</si>
  <si>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</si>
  <si>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</si>
  <si>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</si>
  <si>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</si>
  <si>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</si>
  <si>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</si>
  <si>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</si>
  <si>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</si>
  <si>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</si>
  <si>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</si>
  <si>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</si>
  <si>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</si>
  <si>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</si>
  <si>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</si>
  <si>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</si>
  <si>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</si>
  <si>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</si>
  <si>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</si>
  <si>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</si>
  <si>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</si>
  <si>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</si>
  <si>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</si>
  <si>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</si>
  <si>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</si>
  <si>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</si>
  <si>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</si>
  <si>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</si>
  <si>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</si>
  <si>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</si>
  <si>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</si>
  <si>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</si>
  <si>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</si>
  <si>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</si>
  <si>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</si>
  <si>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</si>
  <si>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</si>
  <si>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</si>
  <si>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</si>
  <si>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</si>
  <si>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</si>
  <si>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</si>
  <si>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</si>
  <si>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</si>
  <si>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</si>
  <si>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</si>
  <si>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</si>
  <si>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</si>
  <si>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</si>
  <si>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</si>
  <si>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</si>
  <si>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</si>
  <si>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</si>
  <si>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</si>
  <si>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</si>
  <si>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</si>
  <si>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</si>
  <si>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</si>
  <si>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</si>
  <si>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</si>
  <si>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</si>
  <si>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</si>
  <si>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</si>
  <si>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</si>
  <si>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</si>
  <si>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</si>
  <si>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</si>
  <si>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</si>
  <si>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</si>
  <si>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</si>
  <si>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</si>
  <si>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</si>
  <si>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</si>
  <si>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</si>
  <si>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</si>
  <si>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</si>
  <si>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</si>
  <si>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</si>
  <si>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</si>
  <si>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</si>
  <si>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</si>
  <si>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</si>
  <si>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</si>
  <si>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</si>
  <si>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</si>
  <si>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</si>
  <si>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</si>
  <si>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</si>
  <si>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</si>
  <si>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</si>
  <si>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</si>
  <si>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</si>
  <si>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</si>
  <si>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</si>
  <si>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</si>
  <si>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</si>
  <si>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</si>
  <si>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</si>
  <si>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</si>
  <si>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</si>
  <si>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</si>
  <si>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</si>
  <si>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</si>
  <si>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</si>
  <si>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</si>
  <si>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</si>
  <si>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</si>
  <si>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</si>
  <si>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</si>
  <si>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</si>
  <si>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</si>
  <si>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</si>
  <si>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</si>
  <si>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</si>
  <si>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</si>
  <si>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</si>
  <si>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</si>
  <si>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</si>
  <si>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</si>
  <si>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</si>
  <si>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</si>
  <si>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</si>
  <si>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</si>
  <si>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</si>
  <si>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</si>
  <si>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</si>
  <si>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</si>
  <si>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</si>
  <si>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</si>
  <si>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</si>
  <si>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</si>
  <si>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</si>
  <si>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</si>
  <si>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</si>
  <si>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</si>
  <si>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</si>
  <si>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</si>
  <si>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</si>
  <si>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</si>
  <si>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</si>
  <si>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</si>
  <si>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</si>
  <si>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</si>
  <si>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</si>
  <si>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</si>
  <si>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</si>
  <si>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</si>
  <si>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</si>
  <si>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</si>
  <si>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</si>
  <si>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</si>
  <si>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</si>
  <si>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</si>
  <si>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</si>
  <si>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</si>
  <si>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</si>
  <si>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</si>
  <si>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</si>
  <si>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</si>
  <si>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</si>
  <si>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</si>
  <si>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</si>
  <si>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</si>
  <si>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</si>
  <si>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</si>
  <si>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</si>
  <si>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</si>
  <si>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</si>
  <si>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</si>
  <si>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</si>
  <si>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</si>
  <si>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</si>
  <si>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</si>
  <si>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</si>
  <si>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</si>
  <si>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</si>
  <si>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</si>
  <si>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</si>
  <si>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</si>
  <si>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</si>
  <si>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</si>
  <si>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</si>
  <si>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</si>
  <si>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</si>
  <si>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</si>
  <si>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</si>
  <si>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</si>
  <si>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</si>
  <si>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</si>
  <si>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</si>
  <si>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</si>
  <si>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</si>
  <si>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</si>
  <si>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</si>
  <si>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</si>
  <si>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</si>
  <si>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</si>
  <si>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</si>
  <si>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</si>
  <si>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</si>
  <si>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</si>
  <si>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</si>
  <si>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</si>
  <si>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</si>
  <si>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</si>
  <si>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</si>
  <si>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</si>
  <si>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</si>
  <si>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</si>
  <si>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</si>
  <si>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</si>
  <si>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</si>
  <si>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</si>
  <si>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</si>
  <si>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</si>
  <si>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</si>
  <si>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</si>
  <si>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</si>
  <si>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</si>
  <si>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</si>
  <si>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</si>
  <si>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</si>
  <si>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</si>
  <si>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</si>
  <si>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</si>
  <si>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</si>
  <si>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</si>
  <si>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</si>
  <si>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</si>
  <si>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</si>
  <si>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</si>
  <si>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</si>
  <si>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</si>
  <si>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</si>
  <si>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</si>
  <si>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</si>
  <si>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</si>
  <si>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</si>
  <si>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</si>
  <si>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</si>
  <si>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</si>
  <si>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</si>
  <si>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</si>
  <si>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</si>
  <si>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</si>
  <si>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</si>
  <si>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</si>
  <si>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</si>
  <si>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</si>
  <si>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</si>
  <si>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</si>
  <si>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</si>
  <si>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</si>
  <si>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</si>
  <si>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</si>
  <si>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</si>
  <si>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</si>
  <si>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</si>
  <si>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</si>
  <si>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</si>
  <si>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</si>
  <si>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</si>
  <si>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</si>
  <si>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</si>
  <si>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</si>
  <si>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</si>
  <si>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</si>
  <si>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</si>
  <si>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</si>
  <si>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</si>
  <si>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</si>
  <si>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</si>
  <si>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</si>
  <si>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</si>
  <si>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</si>
  <si>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</si>
  <si>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</si>
  <si>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</si>
  <si>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</si>
  <si>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</si>
  <si>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</si>
  <si>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</si>
  <si>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</si>
  <si>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</si>
  <si>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</si>
  <si>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</si>
  <si>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</si>
  <si>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</si>
  <si>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</si>
  <si>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</si>
  <si>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</si>
  <si>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</si>
  <si>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</si>
  <si>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</si>
  <si>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</si>
  <si>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</si>
  <si>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</si>
  <si>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</si>
  <si>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</si>
  <si>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</si>
  <si>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</si>
  <si>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</si>
  <si>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</si>
  <si>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</si>
  <si>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</si>
  <si>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</si>
  <si>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</si>
  <si>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</si>
  <si>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</si>
  <si>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</si>
  <si>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</si>
  <si>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</si>
  <si>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</si>
  <si>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</si>
  <si>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</si>
  <si>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</si>
  <si>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</si>
  <si>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</si>
  <si>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</si>
  <si>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</si>
  <si>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</si>
  <si>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</si>
  <si>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</si>
  <si>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</si>
  <si>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</si>
  <si>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</si>
  <si>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</si>
  <si>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</si>
  <si>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</si>
  <si>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</si>
  <si>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</si>
  <si>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</si>
  <si>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</si>
  <si>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</si>
  <si>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</si>
  <si>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</si>
  <si>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</si>
  <si>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</si>
  <si>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</si>
  <si>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</si>
  <si>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</si>
  <si>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</si>
  <si>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</si>
  <si>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</si>
  <si>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</si>
  <si>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</si>
  <si>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</si>
  <si>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</si>
  <si>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</si>
  <si>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</si>
  <si>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</si>
  <si>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</si>
  <si>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</si>
  <si>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</si>
  <si>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</si>
  <si>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</si>
  <si>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</si>
  <si>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</si>
  <si>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</si>
  <si>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</si>
  <si>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</si>
  <si>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</si>
  <si>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</si>
  <si>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</si>
  <si>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</si>
  <si>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</si>
  <si>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</si>
  <si>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</si>
  <si>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</si>
  <si>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</si>
  <si>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</si>
  <si>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</si>
  <si>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</si>
  <si>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</si>
  <si>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</si>
  <si>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</si>
  <si>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</si>
  <si>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</si>
  <si>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</si>
  <si>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</si>
  <si>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</si>
  <si>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</si>
  <si>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</si>
  <si>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</si>
  <si>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</si>
  <si>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</si>
  <si>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</si>
  <si>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</si>
  <si>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</si>
  <si>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</si>
  <si>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</si>
  <si>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</si>
  <si>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</si>
  <si>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</si>
  <si>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</si>
  <si>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</si>
  <si>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</si>
  <si>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</si>
  <si>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</si>
  <si>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</si>
  <si>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</si>
  <si>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</si>
  <si>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</si>
  <si>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</si>
  <si>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</si>
  <si>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</si>
  <si>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</si>
  <si>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</si>
  <si>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</si>
  <si>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</si>
  <si>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</si>
  <si>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</si>
  <si>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</si>
  <si>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</si>
  <si>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</si>
  <si>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</si>
  <si>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</si>
  <si>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</si>
  <si>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</si>
  <si>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</si>
  <si>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</si>
  <si>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</si>
  <si>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FICHA TECNICA DEL PROYECTO</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</si>
  <si>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</si>
  <si>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</si>
  <si>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</si>
  <si>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</si>
  <si>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</si>
  <si>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</si>
  <si>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</si>
  <si>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</si>
  <si>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</si>
  <si>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</si>
  <si>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</si>
  <si>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</si>
  <si>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</si>
  <si>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</si>
  <si>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</si>
  <si>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</si>
  <si>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</si>
  <si>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</si>
  <si>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</si>
  <si>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</si>
  <si>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</si>
  <si>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</si>
  <si>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</si>
  <si>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</si>
  <si>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</si>
  <si>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</si>
  <si>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</si>
  <si>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</si>
  <si>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</si>
  <si>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</si>
  <si>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</si>
  <si>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</si>
  <si>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</si>
  <si>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</si>
  <si>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</si>
  <si>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</si>
  <si>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</si>
  <si>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</si>
  <si>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</si>
  <si>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</si>
  <si>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</si>
  <si>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</si>
  <si>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</si>
  <si>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</si>
  <si>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</si>
  <si>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</si>
  <si>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</si>
  <si>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</si>
  <si>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</si>
  <si>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</si>
  <si>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</si>
  <si>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</si>
  <si>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</si>
  <si>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</si>
  <si>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</si>
  <si>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</si>
  <si>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</si>
  <si>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</si>
  <si>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</si>
  <si>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</si>
  <si>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</si>
  <si>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</si>
  <si>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</si>
  <si>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</si>
  <si>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</si>
  <si>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</si>
  <si>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</si>
  <si>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</si>
  <si>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</si>
  <si>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</si>
  <si>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</si>
  <si>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</si>
  <si>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</si>
  <si>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</si>
  <si>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</si>
  <si>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</si>
  <si>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</si>
  <si>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</si>
  <si>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</si>
  <si>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</si>
  <si>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</si>
  <si>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</si>
  <si>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</si>
  <si>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</si>
  <si>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</si>
  <si>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</si>
  <si>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</si>
  <si>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</si>
  <si>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</si>
  <si>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</si>
  <si>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</si>
  <si>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</si>
  <si>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</si>
  <si>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</si>
  <si>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</si>
  <si>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</si>
  <si>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</si>
  <si>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</si>
  <si>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</si>
  <si>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</si>
  <si>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</si>
  <si>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</si>
  <si>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</si>
  <si>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</si>
  <si>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</si>
  <si>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</si>
  <si>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</si>
  <si>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</si>
  <si>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</si>
  <si>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</si>
  <si>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</si>
  <si>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</si>
  <si>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</si>
  <si>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</si>
  <si>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</si>
  <si>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</si>
  <si>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</si>
  <si>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</si>
  <si>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</si>
  <si>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</si>
  <si>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</si>
  <si>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</si>
  <si>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</si>
  <si>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</si>
  <si>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</si>
  <si>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</si>
  <si>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</si>
  <si>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</si>
  <si>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</si>
  <si>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</si>
  <si>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</si>
  <si>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</si>
  <si>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</si>
  <si>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</si>
  <si>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</si>
  <si>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</si>
  <si>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</si>
  <si>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</si>
  <si>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</si>
  <si>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</si>
  <si>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</si>
  <si>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</si>
  <si>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</si>
  <si>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</si>
  <si>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</si>
  <si>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</si>
  <si>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</si>
  <si>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</si>
  <si>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</si>
  <si>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</si>
  <si>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</si>
  <si>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</si>
  <si>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</si>
  <si>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</si>
  <si>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</si>
  <si>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</si>
  <si>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</si>
  <si>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</si>
  <si>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</si>
  <si>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</si>
  <si>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</si>
  <si>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</si>
  <si>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</si>
  <si>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</si>
  <si>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</si>
  <si>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</si>
  <si>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</si>
  <si>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</si>
  <si>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</si>
  <si>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</si>
  <si>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</si>
  <si>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</si>
  <si>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</si>
  <si>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</si>
  <si>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</si>
  <si>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</si>
  <si>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</si>
  <si>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</si>
  <si>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</si>
  <si>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</si>
  <si>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</si>
  <si>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</si>
  <si>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</si>
  <si>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</si>
  <si>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</si>
  <si>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</si>
  <si>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</si>
  <si>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</si>
  <si>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</si>
  <si>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</si>
  <si>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</si>
  <si>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</si>
  <si>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</si>
  <si>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</si>
  <si>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</si>
  <si>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</si>
  <si>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</si>
  <si>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</si>
  <si>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</si>
  <si>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</si>
  <si>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</si>
  <si>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</si>
  <si>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</si>
  <si>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</si>
  <si>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</si>
  <si>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</si>
  <si>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</si>
  <si>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</si>
  <si>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</si>
  <si>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</si>
  <si>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</si>
  <si>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</si>
  <si>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</si>
  <si>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</si>
  <si>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</si>
  <si>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</si>
  <si>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</si>
  <si>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</si>
  <si>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</si>
  <si>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</si>
  <si>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</si>
  <si>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</si>
  <si>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</si>
  <si>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</si>
  <si>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</si>
  <si>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</si>
  <si>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</si>
  <si>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</si>
  <si>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</si>
  <si>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</si>
  <si>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</si>
  <si>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</si>
  <si>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</si>
  <si>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</si>
  <si>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</si>
  <si>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</si>
  <si>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</si>
  <si>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</si>
  <si>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</si>
  <si>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</si>
  <si>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</si>
  <si>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</si>
  <si>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</si>
  <si>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</si>
  <si>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</si>
  <si>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</si>
  <si>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</si>
  <si>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</si>
  <si>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</si>
  <si>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</si>
  <si>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</si>
  <si>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</si>
  <si>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</si>
  <si>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</si>
  <si>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</si>
  <si>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</si>
  <si>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</si>
  <si>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</si>
  <si>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</si>
  <si>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</si>
  <si>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</si>
  <si>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</si>
  <si>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</si>
  <si>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</si>
  <si>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</si>
  <si>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</si>
  <si>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</si>
  <si>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</si>
  <si>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</si>
  <si>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</si>
  <si>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</si>
  <si>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</si>
  <si>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</si>
  <si>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</si>
  <si>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</si>
  <si>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</si>
  <si>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</si>
  <si>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</si>
  <si>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</si>
  <si>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</si>
  <si>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</si>
  <si>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</si>
  <si>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</si>
  <si>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</si>
  <si>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</si>
  <si>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</si>
  <si>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</si>
  <si>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</si>
  <si>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</si>
  <si>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</si>
  <si>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</si>
  <si>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</si>
  <si>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</si>
  <si>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</si>
  <si>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</si>
  <si>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</si>
  <si>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</si>
  <si>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</si>
  <si>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</si>
  <si>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</si>
  <si>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</si>
  <si>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</si>
  <si>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</si>
  <si>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</si>
  <si>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</si>
  <si>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</si>
  <si>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</si>
  <si>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</si>
  <si>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</si>
  <si>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</si>
  <si>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</si>
  <si>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</si>
  <si>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</si>
  <si>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</si>
  <si>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</si>
  <si>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</si>
  <si>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</si>
  <si>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</si>
  <si>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</si>
  <si>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</si>
  <si>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</si>
  <si>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</si>
  <si>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</si>
  <si>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</si>
  <si>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</si>
  <si>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</si>
  <si>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</si>
  <si>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</si>
  <si>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</si>
  <si>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</si>
  <si>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</si>
  <si>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</si>
  <si>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</si>
  <si>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</si>
  <si>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</si>
  <si>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</si>
  <si>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</si>
  <si>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</si>
  <si>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</si>
  <si>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</si>
  <si>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</si>
  <si>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</si>
  <si>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</si>
  <si>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</si>
  <si>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</si>
  <si>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</si>
  <si>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</si>
  <si>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</si>
  <si>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</si>
  <si>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</si>
  <si>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</si>
  <si>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</si>
  <si>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</si>
  <si>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</si>
  <si>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</si>
  <si>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</si>
  <si>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</si>
  <si>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</si>
  <si>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</si>
  <si>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</si>
  <si>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</si>
  <si>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</si>
  <si>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</si>
  <si>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</si>
  <si>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</si>
  <si>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</si>
  <si>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</si>
  <si>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</si>
  <si>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</si>
  <si>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</si>
  <si>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</si>
  <si>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</si>
  <si>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</si>
  <si>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</si>
  <si>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</si>
  <si>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</si>
  <si>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</si>
  <si>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</si>
  <si>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</si>
  <si>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</si>
  <si>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</si>
  <si>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</si>
  <si>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</si>
  <si>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</si>
  <si>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</si>
  <si>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</si>
  <si>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</si>
  <si>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</si>
  <si>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</si>
  <si>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</si>
  <si>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</si>
  <si>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</si>
  <si>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</si>
  <si>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</si>
  <si>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</si>
  <si>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</si>
  <si>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</si>
  <si>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</si>
  <si>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</si>
  <si>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</si>
  <si>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</si>
  <si>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</si>
  <si>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</si>
  <si>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</si>
  <si>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</si>
  <si>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</si>
  <si>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</si>
  <si>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</si>
  <si>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</si>
  <si>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</si>
  <si>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</si>
  <si>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</si>
  <si>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</si>
  <si>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</si>
  <si>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</si>
  <si>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</si>
  <si>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</si>
  <si>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</si>
  <si>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</si>
  <si>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</si>
  <si>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</si>
  <si>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</si>
  <si>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</si>
  <si>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</si>
  <si>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</si>
  <si>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</si>
  <si>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</si>
  <si>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</si>
  <si>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</si>
  <si>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</si>
  <si>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</si>
  <si>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</si>
  <si>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</si>
  <si>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</si>
  <si>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</si>
  <si>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</si>
  <si>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</si>
  <si>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</si>
  <si>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</si>
  <si>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</si>
  <si>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</si>
  <si>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</si>
  <si>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</si>
  <si>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</si>
  <si>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</si>
  <si>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</si>
  <si>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</si>
  <si>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</si>
  <si>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</si>
  <si>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</si>
  <si>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</si>
  <si>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</si>
  <si>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</si>
  <si>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</si>
  <si>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</si>
  <si>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</si>
  <si>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</si>
  <si>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</si>
  <si>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</si>
  <si>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</si>
  <si>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</si>
  <si>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</si>
  <si>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</si>
  <si>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</si>
  <si>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</si>
  <si>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</si>
  <si>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</si>
  <si>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</si>
  <si>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</si>
  <si>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</si>
  <si>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</si>
  <si>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</si>
  <si>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</si>
  <si>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</si>
  <si>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</si>
  <si>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</si>
  <si>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</si>
  <si>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</si>
  <si>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</si>
  <si>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</si>
  <si>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</si>
  <si>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</si>
  <si>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</si>
  <si>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</si>
  <si>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</si>
  <si>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</si>
  <si>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</si>
  <si>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</si>
  <si>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</si>
  <si>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</si>
  <si>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</si>
  <si>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</si>
  <si>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</si>
  <si>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</si>
  <si>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</si>
  <si>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</si>
  <si>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</si>
  <si>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</si>
  <si>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</si>
  <si>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</si>
  <si>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</si>
  <si>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</si>
  <si>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</si>
  <si>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</si>
  <si>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</si>
  <si>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</si>
  <si>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</si>
  <si>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</si>
  <si>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</si>
  <si>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</si>
  <si>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</si>
  <si>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</si>
  <si>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</si>
  <si>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</si>
  <si>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</si>
  <si>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</si>
  <si>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</si>
  <si>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</si>
  <si>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</si>
  <si>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</si>
  <si>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</si>
  <si>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</si>
  <si>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</si>
  <si>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</si>
  <si>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</si>
  <si>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</si>
  <si>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</si>
  <si>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</si>
  <si>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</si>
  <si>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</si>
  <si>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</si>
  <si>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</si>
  <si>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</si>
  <si>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</si>
  <si>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</si>
  <si>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</si>
  <si>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</si>
  <si>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</si>
  <si>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</si>
  <si>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</si>
  <si>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</si>
  <si>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</si>
  <si>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</si>
  <si>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</si>
  <si>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</si>
  <si>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</si>
  <si>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</si>
  <si>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</si>
  <si>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</si>
  <si>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</si>
  <si>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</si>
  <si>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</si>
  <si>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</si>
  <si>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</si>
  <si>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</si>
  <si>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</si>
  <si>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</si>
  <si>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</si>
  <si>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</si>
  <si>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</si>
  <si>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</si>
  <si>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</si>
  <si>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</si>
  <si>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</si>
  <si>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</si>
  <si>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</si>
  <si>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</si>
  <si>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</si>
  <si>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</si>
  <si>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</si>
  <si>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</si>
  <si>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</si>
  <si>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</si>
  <si>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</si>
  <si>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</si>
  <si>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</si>
  <si>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</si>
  <si>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</si>
  <si>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</si>
  <si>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</si>
  <si>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</si>
  <si>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</si>
  <si>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</si>
  <si>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</si>
  <si>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</si>
  <si>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</si>
  <si>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</si>
  <si>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</si>
  <si>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</si>
  <si>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</si>
  <si>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</si>
  <si>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</si>
  <si>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</si>
  <si>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</si>
  <si>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</si>
  <si>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</si>
  <si>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</si>
  <si>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</si>
  <si>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</si>
  <si>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</si>
  <si>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</si>
  <si>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</si>
  <si>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</si>
  <si>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</si>
  <si>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</si>
  <si>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</si>
  <si>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</si>
  <si>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</si>
  <si>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</si>
  <si>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</si>
  <si>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</si>
  <si>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</si>
  <si>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</si>
  <si>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</si>
  <si>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</si>
  <si>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</si>
  <si>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</si>
  <si>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</si>
  <si>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</si>
  <si>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</si>
  <si>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</si>
  <si>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</si>
  <si>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</si>
  <si>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</si>
  <si>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</si>
  <si>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</si>
  <si>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</si>
  <si>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</si>
  <si>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</si>
  <si>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</si>
  <si>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</si>
  <si>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</si>
  <si>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</si>
  <si>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</si>
  <si>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</si>
  <si>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</si>
  <si>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</si>
  <si>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</si>
  <si>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</si>
  <si>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</si>
  <si>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</si>
  <si>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</si>
  <si>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</si>
  <si>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</si>
  <si>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</si>
  <si>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</si>
  <si>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</si>
  <si>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</si>
  <si>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</si>
  <si>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</si>
  <si>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</si>
  <si>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</si>
  <si>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</si>
  <si>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</si>
  <si>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</si>
  <si>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</si>
  <si>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</si>
  <si>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</si>
  <si>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</si>
  <si>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</si>
  <si>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</si>
  <si>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</si>
  <si>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</si>
  <si>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</si>
  <si>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</si>
  <si>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</si>
  <si>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</si>
  <si>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</si>
  <si>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</si>
  <si>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</si>
  <si>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</si>
  <si>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</si>
  <si>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</si>
  <si>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</si>
  <si>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</si>
  <si>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</si>
  <si>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</si>
  <si>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</si>
  <si>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</si>
  <si>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</si>
  <si>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</si>
  <si>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</si>
  <si>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</si>
  <si>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</si>
  <si>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</si>
  <si>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</si>
  <si>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</si>
  <si>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</si>
  <si>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</si>
  <si>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</si>
  <si>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</si>
  <si>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</si>
  <si>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</si>
  <si>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</si>
  <si>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</si>
  <si>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</si>
  <si>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</si>
  <si>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</si>
  <si>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</si>
  <si>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</si>
  <si>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</si>
  <si>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</si>
  <si>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</si>
  <si>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</si>
  <si>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</si>
  <si>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</si>
  <si>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</si>
  <si>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</si>
  <si>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</si>
  <si>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</si>
  <si>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</si>
  <si>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</si>
  <si>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</si>
  <si>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</si>
  <si>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</si>
  <si>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</si>
  <si>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</si>
  <si>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</si>
  <si>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</si>
  <si>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</si>
  <si>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</si>
  <si>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</si>
  <si>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</si>
  <si>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</si>
  <si>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</si>
  <si>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</si>
  <si>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</si>
  <si>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</si>
  <si>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</si>
  <si>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</si>
  <si>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</si>
  <si>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</si>
  <si>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</si>
  <si>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</si>
  <si>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</si>
  <si>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</si>
  <si>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</si>
  <si>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</si>
  <si>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</si>
  <si>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</si>
  <si>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</si>
  <si>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</si>
  <si>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</si>
  <si>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</si>
  <si>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</si>
  <si>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</si>
  <si>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</si>
  <si>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</si>
  <si>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</si>
  <si>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</si>
  <si>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</si>
  <si>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</si>
  <si>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</si>
  <si>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</si>
  <si>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</si>
  <si>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</si>
  <si>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</si>
  <si>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</si>
  <si>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</si>
  <si>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</si>
  <si>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</si>
  <si>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</si>
  <si>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</si>
  <si>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</si>
  <si>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</si>
  <si>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</si>
  <si>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</si>
  <si>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</si>
  <si>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</si>
  <si>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</si>
  <si>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</si>
  <si>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</si>
  <si>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</si>
  <si>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</si>
  <si>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</si>
  <si>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</si>
  <si>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</si>
  <si>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</si>
  <si>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</si>
  <si>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</si>
  <si>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</si>
  <si>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</si>
  <si>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</si>
  <si>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</si>
  <si>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</si>
  <si>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</si>
  <si>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</si>
  <si>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</si>
  <si>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</si>
  <si>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</si>
  <si>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</si>
  <si>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</si>
  <si>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</si>
  <si>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</si>
  <si>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</si>
  <si>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</si>
  <si>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</si>
  <si>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</si>
  <si>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</si>
  <si>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</si>
  <si>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</si>
  <si>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</si>
  <si>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</si>
  <si>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</si>
  <si>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</si>
  <si>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</si>
  <si>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</si>
  <si>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</si>
  <si>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</si>
  <si>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</si>
  <si>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</si>
  <si>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</si>
  <si>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</si>
  <si>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</si>
  <si>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</si>
  <si>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</si>
  <si>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</si>
  <si>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</si>
  <si>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</si>
  <si>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</si>
  <si>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</si>
  <si>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</si>
  <si>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</si>
  <si>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</si>
  <si>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</si>
  <si>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</si>
  <si>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</si>
  <si>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</si>
  <si>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</si>
  <si>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</si>
  <si>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</si>
  <si>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</si>
  <si>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</si>
  <si>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</si>
  <si>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</si>
  <si>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</si>
  <si>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</si>
  <si>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</si>
  <si>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</si>
  <si>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</si>
  <si>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</si>
  <si>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</si>
  <si>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</si>
  <si>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</si>
  <si>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</si>
  <si>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</si>
  <si>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</si>
  <si>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</si>
  <si>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</si>
  <si>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</si>
  <si>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</si>
  <si>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</si>
  <si>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</si>
  <si>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</si>
  <si>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</si>
  <si>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</si>
  <si>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</si>
  <si>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</si>
  <si>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</si>
  <si>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</si>
  <si>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</si>
  <si>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</si>
  <si>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</si>
  <si>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</si>
  <si>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</si>
  <si>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</si>
  <si>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</si>
  <si>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</si>
  <si>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</si>
  <si>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</si>
  <si>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</si>
  <si>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</si>
  <si>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</si>
  <si>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</si>
  <si>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</si>
  <si>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</si>
  <si>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</si>
  <si>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</si>
  <si>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</si>
  <si>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</si>
  <si>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</si>
  <si>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</si>
  <si>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</si>
  <si>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</si>
  <si>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</si>
  <si>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</si>
  <si>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</si>
  <si>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</si>
  <si>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</si>
  <si>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</si>
  <si>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</si>
  <si>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</si>
  <si>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</si>
  <si>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</si>
  <si>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</si>
  <si>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</si>
  <si>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</si>
  <si>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</si>
  <si>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</si>
  <si>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</si>
  <si>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</si>
  <si>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</si>
  <si>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</si>
  <si>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</si>
  <si>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</si>
  <si>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</si>
  <si>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</si>
  <si>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</si>
  <si>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</si>
  <si>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</si>
  <si>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</si>
  <si>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</si>
  <si>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</si>
  <si>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</si>
  <si>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</si>
  <si>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</si>
  <si>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</si>
  <si>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</si>
  <si>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</si>
  <si>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</si>
  <si>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</si>
  <si>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</si>
  <si>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</si>
  <si>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</si>
  <si>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</si>
  <si>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</si>
  <si>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</si>
  <si>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</si>
  <si>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</si>
  <si>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</si>
  <si>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</si>
  <si>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</si>
  <si>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</si>
  <si>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</si>
  <si>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</si>
  <si>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</si>
  <si>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</si>
  <si>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</si>
  <si>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</si>
  <si>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</si>
  <si>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</si>
  <si>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</si>
  <si>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</si>
  <si>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</si>
  <si>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</si>
  <si>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</si>
  <si>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</si>
  <si>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</si>
  <si>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</si>
  <si>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</si>
  <si>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</si>
  <si>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</si>
  <si>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</si>
  <si>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</si>
  <si>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</si>
  <si>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</si>
  <si>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</si>
  <si>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</si>
  <si>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</si>
  <si>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</si>
  <si>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</si>
  <si>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</si>
  <si>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</si>
  <si>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</si>
  <si>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</si>
  <si>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</si>
  <si>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</si>
  <si>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</si>
  <si>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</si>
  <si>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</si>
  <si>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</si>
  <si>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</si>
  <si>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</si>
  <si>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</si>
  <si>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</si>
  <si>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</si>
  <si>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</si>
  <si>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</si>
  <si>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</si>
  <si>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</si>
  <si>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</si>
  <si>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</si>
  <si>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</si>
  <si>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</si>
  <si>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</si>
  <si>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</si>
  <si>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</si>
  <si>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</si>
  <si>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</si>
  <si>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</si>
  <si>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</si>
  <si>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</si>
  <si>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</si>
  <si>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</si>
  <si>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</si>
  <si>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</si>
  <si>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</si>
  <si>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</si>
  <si>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</si>
  <si>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</si>
  <si>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</si>
  <si>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</si>
  <si>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</si>
  <si>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</si>
  <si>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</si>
  <si>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</si>
  <si>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</si>
  <si>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</si>
  <si>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</si>
  <si>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</si>
  <si>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</si>
  <si>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</si>
  <si>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</si>
  <si>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</si>
  <si>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</si>
  <si>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</si>
  <si>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</si>
  <si>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</si>
  <si>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</si>
  <si>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</si>
  <si>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</si>
  <si>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</si>
  <si>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</si>
  <si>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</si>
  <si>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</si>
  <si>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</si>
  <si>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</si>
  <si>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</si>
  <si>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</si>
  <si>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</si>
  <si>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</si>
  <si>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</si>
  <si>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</si>
  <si>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</si>
  <si>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</si>
  <si>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</si>
  <si>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</si>
  <si>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</si>
  <si>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</si>
  <si>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</si>
  <si>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</si>
  <si>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</si>
  <si>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</si>
  <si>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</si>
  <si>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</si>
  <si>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</si>
  <si>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</si>
  <si>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</si>
  <si>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</si>
  <si>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</si>
  <si>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</si>
  <si>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</si>
  <si>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</si>
  <si>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</si>
  <si>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</si>
  <si>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</si>
  <si>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</si>
  <si>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</si>
  <si>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</si>
  <si>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</si>
  <si>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</si>
  <si>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</si>
  <si>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</si>
  <si>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</si>
  <si>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</si>
  <si>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</si>
  <si>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</si>
  <si>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</si>
  <si>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</si>
  <si>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</si>
  <si>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</si>
  <si>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</si>
  <si>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</si>
  <si>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</si>
  <si>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</si>
  <si>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</si>
  <si>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</si>
  <si>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</si>
  <si>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</si>
  <si>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</si>
  <si>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</si>
  <si>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</si>
  <si>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</si>
  <si>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</si>
  <si>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</si>
  <si>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</si>
  <si>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</si>
  <si>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</si>
  <si>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</si>
  <si>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</si>
  <si>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</si>
  <si>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</si>
  <si>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</si>
  <si>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</si>
  <si>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</si>
  <si>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</si>
  <si>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</si>
  <si>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</si>
  <si>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</si>
  <si>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</si>
  <si>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</si>
  <si>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</si>
  <si>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</si>
  <si>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</si>
  <si>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</si>
  <si>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</si>
  <si>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</si>
  <si>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</si>
  <si>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</si>
  <si>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</si>
  <si>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</si>
  <si>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</si>
  <si>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</si>
  <si>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</si>
  <si>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</si>
  <si>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</si>
  <si>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</si>
  <si>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</si>
  <si>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</si>
  <si>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</si>
  <si>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</si>
  <si>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</si>
  <si>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</si>
  <si>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</si>
  <si>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</si>
  <si>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</si>
  <si>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</si>
  <si>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</si>
  <si>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</si>
  <si>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</si>
  <si>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</si>
  <si>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</si>
  <si>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</si>
  <si>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</si>
  <si>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</si>
  <si>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</si>
  <si>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</si>
  <si>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</si>
  <si>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</si>
  <si>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</si>
  <si>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</si>
  <si>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</si>
  <si>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</si>
  <si>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</si>
  <si>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</si>
  <si>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</si>
  <si>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</si>
  <si>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</si>
  <si>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</si>
  <si>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</si>
  <si>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</si>
  <si>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</si>
  <si>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</si>
  <si>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</si>
  <si>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</si>
  <si>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</si>
  <si>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</si>
  <si>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</si>
  <si>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</si>
  <si>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</si>
  <si>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</si>
  <si>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</si>
  <si>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</si>
  <si>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</si>
  <si>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</si>
  <si>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</si>
  <si>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</si>
  <si>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</si>
  <si>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</si>
  <si>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</si>
  <si>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</si>
  <si>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</si>
  <si>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</si>
  <si>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</si>
  <si>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</si>
  <si>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</si>
  <si>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</si>
  <si>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</si>
  <si>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</si>
  <si>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</si>
  <si>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</si>
  <si>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</si>
  <si>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</si>
  <si>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</si>
  <si>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</si>
  <si>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</si>
  <si>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</si>
  <si>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</si>
  <si>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</si>
  <si>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</si>
  <si>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</si>
  <si>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</si>
  <si>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</si>
  <si>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</si>
  <si>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</si>
  <si>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</si>
  <si>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</si>
  <si>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</si>
  <si>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</si>
  <si>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</si>
  <si>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</si>
  <si>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</si>
  <si>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</si>
  <si>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</si>
  <si>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</si>
  <si>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</si>
  <si>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</si>
  <si>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</si>
  <si>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</si>
  <si>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</si>
  <si>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</si>
  <si>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</si>
  <si>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</si>
  <si>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</si>
  <si>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</si>
  <si>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</si>
  <si>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</si>
  <si>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</si>
  <si>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</si>
  <si>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</si>
  <si>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</si>
  <si>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</si>
  <si>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</si>
  <si>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</si>
  <si>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</si>
  <si>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</si>
  <si>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</si>
  <si>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</si>
  <si>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</si>
  <si>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</si>
  <si>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</si>
  <si>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</si>
  <si>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</si>
  <si>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</si>
  <si>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</si>
  <si>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</si>
  <si>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</si>
  <si>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</si>
  <si>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</si>
  <si>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</si>
  <si>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</si>
  <si>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</si>
  <si>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</si>
  <si>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</si>
  <si>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</si>
  <si>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</si>
  <si>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</si>
  <si>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</si>
  <si>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</si>
  <si>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</si>
  <si>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</si>
  <si>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</si>
  <si>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</si>
  <si>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</si>
  <si>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</si>
  <si>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</si>
  <si>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</si>
  <si>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</si>
  <si>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</si>
  <si>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</si>
  <si>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</si>
  <si>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</si>
  <si>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</si>
  <si>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</si>
  <si>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</si>
  <si>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</si>
  <si>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</si>
  <si>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</si>
  <si>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</si>
  <si>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</si>
  <si>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</si>
  <si>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</si>
  <si>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</si>
  <si>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</si>
  <si>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</si>
  <si>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</si>
  <si>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</si>
  <si>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</si>
  <si>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</si>
  <si>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</si>
  <si>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</si>
  <si>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</si>
  <si>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</si>
  <si>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</si>
  <si>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</si>
  <si>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</si>
  <si>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</si>
  <si>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</si>
  <si>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</si>
  <si>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</si>
  <si>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</si>
  <si>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</si>
  <si>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</si>
  <si>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</si>
  <si>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</si>
  <si>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</si>
  <si>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</si>
  <si>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</si>
  <si>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</si>
  <si>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</si>
  <si>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</si>
  <si>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</si>
  <si>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</si>
  <si>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</si>
  <si>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</si>
  <si>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</si>
  <si>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</si>
  <si>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</si>
  <si>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</si>
  <si>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</si>
  <si>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</si>
  <si>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</si>
  <si>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</si>
  <si>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</si>
  <si>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</si>
  <si>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</si>
  <si>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</si>
  <si>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</si>
  <si>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</si>
  <si>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</si>
  <si>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</si>
  <si>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</si>
  <si>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</si>
  <si>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</si>
  <si>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</si>
  <si>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</si>
  <si>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</si>
  <si>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</si>
  <si>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</si>
  <si>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</si>
  <si>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</si>
  <si>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</si>
  <si>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</si>
  <si>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</si>
  <si>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</si>
  <si>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</si>
  <si>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</si>
  <si>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</si>
  <si>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</si>
  <si>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</si>
  <si>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</si>
  <si>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</si>
  <si>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</si>
  <si>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</si>
  <si>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</si>
  <si>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</si>
  <si>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</si>
  <si>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</si>
  <si>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</si>
  <si>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</si>
  <si>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</si>
  <si>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</si>
  <si>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</si>
  <si>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</si>
  <si>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</si>
  <si>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</si>
  <si>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</si>
  <si>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</si>
  <si>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</si>
  <si>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</si>
  <si>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</si>
  <si>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</si>
  <si>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</si>
  <si>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</si>
  <si>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</si>
  <si>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</si>
  <si>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</si>
  <si>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</si>
  <si>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</si>
  <si>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</si>
  <si>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</si>
  <si>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</si>
  <si>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</si>
  <si>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</si>
  <si>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</si>
  <si>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</si>
  <si>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</si>
  <si>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</si>
  <si>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</si>
  <si>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</si>
  <si>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</si>
  <si>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</si>
  <si>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</si>
  <si>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</si>
  <si>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</si>
  <si>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</si>
  <si>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</si>
  <si>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</si>
  <si>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</si>
  <si>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</si>
  <si>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</si>
  <si>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</si>
  <si>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</si>
  <si>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</si>
  <si>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</si>
  <si>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</si>
  <si>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</si>
  <si>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</si>
  <si>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</si>
  <si>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</si>
  <si>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</si>
  <si>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</si>
  <si>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</si>
  <si>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</si>
  <si>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</si>
  <si>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</si>
  <si>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</si>
  <si>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</si>
  <si>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</si>
  <si>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</si>
  <si>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</si>
  <si>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</si>
  <si>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</si>
  <si>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</si>
  <si>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</si>
  <si>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</si>
  <si>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</si>
  <si>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</si>
  <si>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</si>
  <si>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</si>
  <si>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</si>
  <si>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</si>
  <si>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</si>
  <si>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</si>
  <si>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</si>
  <si>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</si>
  <si>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</si>
  <si>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</si>
  <si>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</si>
  <si>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</si>
  <si>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</si>
  <si>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</si>
  <si>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</si>
  <si>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</si>
  <si>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</si>
  <si>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</si>
  <si>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</si>
  <si>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</si>
  <si>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</si>
  <si>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</si>
  <si>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</si>
  <si>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</si>
  <si>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</si>
  <si>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</si>
  <si>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</si>
  <si>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</si>
  <si>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</si>
  <si>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</si>
  <si>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</si>
  <si>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</si>
  <si>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</si>
  <si>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</si>
  <si>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</si>
  <si>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</si>
  <si>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</si>
  <si>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</si>
  <si>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</si>
  <si>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</si>
  <si>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</si>
  <si>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</si>
  <si>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</si>
  <si>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</si>
  <si>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</si>
  <si>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</si>
  <si>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</si>
  <si>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</si>
  <si>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</si>
  <si>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</si>
  <si>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</si>
  <si>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</si>
  <si>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</si>
  <si>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</si>
  <si>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</si>
  <si>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</si>
  <si>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</si>
  <si>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</si>
  <si>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</si>
  <si>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</si>
  <si>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</si>
  <si>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</si>
  <si>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</si>
  <si>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</si>
  <si>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</si>
  <si>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</si>
  <si>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</si>
  <si>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</si>
  <si>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</si>
  <si>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</si>
  <si>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</si>
  <si>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</si>
  <si>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</si>
  <si>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</si>
  <si>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</si>
  <si>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</si>
  <si>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</si>
  <si>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</si>
  <si>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</si>
  <si>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</si>
  <si>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</si>
  <si>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</si>
  <si>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</si>
  <si>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</si>
  <si>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</si>
  <si>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</si>
  <si>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</si>
  <si>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</si>
  <si>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</si>
  <si>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</si>
  <si>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</si>
  <si>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</si>
  <si>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</si>
  <si>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</si>
  <si>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</si>
  <si>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</si>
  <si>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</si>
  <si>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</si>
  <si>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</si>
  <si>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</si>
  <si>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</si>
  <si>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</si>
  <si>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</si>
  <si>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</si>
  <si>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</si>
  <si>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</si>
  <si>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</si>
  <si>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</si>
  <si>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</si>
  <si>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</si>
  <si>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</si>
  <si>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</si>
  <si>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</si>
  <si>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</si>
  <si>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</si>
  <si>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</si>
  <si>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</si>
  <si>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</si>
  <si>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</si>
  <si>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</si>
  <si>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</si>
  <si>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</si>
  <si>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</si>
  <si>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</si>
  <si>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</si>
  <si>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</si>
  <si>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</si>
  <si>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</si>
  <si>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</si>
  <si>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</si>
  <si>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</si>
  <si>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</si>
  <si>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</si>
  <si>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</si>
  <si>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</si>
  <si>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</si>
  <si>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</si>
  <si>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</si>
  <si>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</si>
  <si>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</si>
  <si>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</si>
  <si>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</si>
  <si>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</si>
  <si>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</si>
  <si>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</si>
  <si>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</si>
  <si>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</si>
  <si>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</si>
  <si>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</si>
  <si>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</si>
  <si>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</si>
  <si>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</si>
  <si>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</si>
  <si>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</si>
  <si>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</si>
  <si>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</si>
  <si>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</si>
  <si>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</si>
  <si>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</si>
  <si>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</si>
  <si>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</si>
  <si>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</si>
  <si>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</si>
  <si>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</si>
  <si>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</si>
  <si>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</si>
  <si>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</si>
  <si>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</si>
  <si>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</si>
  <si>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</si>
  <si>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</si>
  <si>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</si>
  <si>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</si>
  <si>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</si>
  <si>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</si>
  <si>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</si>
  <si>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</si>
  <si>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</si>
  <si>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</si>
  <si>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</si>
  <si>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</si>
  <si>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</si>
  <si>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</si>
  <si>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</si>
  <si>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</si>
  <si>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</si>
  <si>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</si>
  <si>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</si>
  <si>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</si>
  <si>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</si>
  <si>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</si>
  <si>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</si>
  <si>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</si>
  <si>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</si>
  <si>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</si>
  <si>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</si>
  <si>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</si>
  <si>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</si>
  <si>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</si>
  <si>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</si>
  <si>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</si>
  <si>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</si>
  <si>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</si>
  <si>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</si>
  <si>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</si>
  <si>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</si>
  <si>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</si>
  <si>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</si>
  <si>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</si>
  <si>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</si>
  <si>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</si>
  <si>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</si>
  <si>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</si>
  <si>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</si>
  <si>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</si>
  <si>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</si>
  <si>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</si>
  <si>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</si>
  <si>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</si>
  <si>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</si>
  <si>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</si>
  <si>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</si>
  <si>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</si>
  <si>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</si>
  <si>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</si>
  <si>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</si>
  <si>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</si>
  <si>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</si>
  <si>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</si>
  <si>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</si>
  <si>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</si>
  <si>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</si>
  <si>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</si>
  <si>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</si>
  <si>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</si>
  <si>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</si>
  <si>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</si>
  <si>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</si>
  <si>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</si>
  <si>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</si>
  <si>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</si>
  <si>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</si>
  <si>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</si>
  <si>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</si>
  <si>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</si>
  <si>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</si>
  <si>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</si>
  <si>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</si>
  <si>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</si>
  <si>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</si>
  <si>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</si>
  <si>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</si>
  <si>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</si>
  <si>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</si>
  <si>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</si>
  <si>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</si>
  <si>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</si>
  <si>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</si>
  <si>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</si>
  <si>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</si>
  <si>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</si>
  <si>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</si>
  <si>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</si>
  <si>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</si>
  <si>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</si>
  <si>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</si>
  <si>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</si>
  <si>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</si>
  <si>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</si>
  <si>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</si>
  <si>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</si>
  <si>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</si>
  <si>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</si>
  <si>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</si>
  <si>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</si>
  <si>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</si>
  <si>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</si>
  <si>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</si>
  <si>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</si>
  <si>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</si>
  <si>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</si>
  <si>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</si>
  <si>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</si>
  <si>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</si>
  <si>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</si>
  <si>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</si>
  <si>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</si>
  <si>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</si>
  <si>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</si>
  <si>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</si>
  <si>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</si>
  <si>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</si>
  <si>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</si>
  <si>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</si>
  <si>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</si>
  <si>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</si>
  <si>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</si>
  <si>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</si>
  <si>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</si>
  <si>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</si>
  <si>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</si>
  <si>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</si>
  <si>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</si>
  <si>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</si>
  <si>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</si>
  <si>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</si>
  <si>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</si>
  <si>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</si>
  <si>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</si>
  <si>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</si>
  <si>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</si>
  <si>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</si>
  <si>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</si>
  <si>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</si>
  <si>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</si>
  <si>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</si>
  <si>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</si>
  <si>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</si>
  <si>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</si>
  <si>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</si>
  <si>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</si>
  <si>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</si>
  <si>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</si>
  <si>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</si>
  <si>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</si>
  <si>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</si>
  <si>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</si>
  <si>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</si>
  <si>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</si>
  <si>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</si>
  <si>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</si>
  <si>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</si>
  <si>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</si>
  <si>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</si>
  <si>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</si>
  <si>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</si>
  <si>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</si>
  <si>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</si>
  <si>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</si>
  <si>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</si>
  <si>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</si>
  <si>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</si>
  <si>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</si>
  <si>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</si>
  <si>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</si>
  <si>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</si>
  <si>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</si>
  <si>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</si>
  <si>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</si>
  <si>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</si>
  <si>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</si>
  <si>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</si>
  <si>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</si>
  <si>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</si>
  <si>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</si>
  <si>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</si>
  <si>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</si>
  <si>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</si>
  <si>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</si>
  <si>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</si>
  <si>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</si>
  <si>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</si>
  <si>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</si>
  <si>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</si>
  <si>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</si>
  <si>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</si>
  <si>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</si>
  <si>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</si>
  <si>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</si>
  <si>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</si>
  <si>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</si>
  <si>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</si>
  <si>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</si>
  <si>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</si>
  <si>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</si>
  <si>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</si>
  <si>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</si>
  <si>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</si>
  <si>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</si>
  <si>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</si>
  <si>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</si>
  <si>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</si>
  <si>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</si>
  <si>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</si>
  <si>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</si>
  <si>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</si>
  <si>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</si>
  <si>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</si>
  <si>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</si>
  <si>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</si>
  <si>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</si>
  <si>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</si>
  <si>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</si>
  <si>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</si>
  <si>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</si>
  <si>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</si>
  <si>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</si>
  <si>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</si>
  <si>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</si>
  <si>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</si>
  <si>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</si>
  <si>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</si>
  <si>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</si>
  <si>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</si>
  <si>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</si>
  <si>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</si>
  <si>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</si>
  <si>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</si>
  <si>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</si>
  <si>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</si>
  <si>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</si>
  <si>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</si>
  <si>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</si>
  <si>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</si>
  <si>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</si>
  <si>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</si>
  <si>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</si>
  <si>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</si>
  <si>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</si>
  <si>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</si>
  <si>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</si>
  <si>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</si>
  <si>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</si>
  <si>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</si>
  <si>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</si>
  <si>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</si>
  <si>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</si>
  <si>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</si>
  <si>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</si>
  <si>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</si>
  <si>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</si>
  <si>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</si>
  <si>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</si>
  <si>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</si>
  <si>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</si>
  <si>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</si>
  <si>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</si>
  <si>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</si>
  <si>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</si>
  <si>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</si>
  <si>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</si>
  <si>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</si>
  <si>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</si>
  <si>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</si>
  <si>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</si>
  <si>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</si>
  <si>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</si>
  <si>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</si>
  <si>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CONTRACTUAL</t>
  </si>
  <si>
    <t>GASTOS GENERALES AMP.PPTAL 2 (COVID)</t>
  </si>
  <si>
    <t>GASTOS GENERALES AMP.PPTAL 3</t>
  </si>
  <si>
    <t>GASTOS GENERALES TOTAL</t>
  </si>
  <si>
    <t xml:space="preserve">COSTO DIRECTO  + G.G. TOTALES </t>
  </si>
  <si>
    <t>Fecha de Termino REAL</t>
  </si>
  <si>
    <t>564-2020</t>
  </si>
  <si>
    <t>C=MAYORES METRADOS, AMP. PPTAL N° 04</t>
  </si>
  <si>
    <t>D=PARTIDAS NUEVAS, AMP. PPTAL N° 04</t>
  </si>
  <si>
    <t xml:space="preserve">ADICIONALES A+B+C+D COSTO DIRECTO </t>
  </si>
  <si>
    <t>D= PARTIDAS NUEVAS, AMP. PPTAL N° 04</t>
  </si>
  <si>
    <t>CUADERNO 13</t>
  </si>
  <si>
    <t>diciembre - 2020</t>
  </si>
  <si>
    <t>N° 068</t>
  </si>
  <si>
    <t>D=DEDUCTIVO DE OBRA, AMP. PPTAL N° 04</t>
  </si>
  <si>
    <t xml:space="preserve">COSTO DIRECTO TOTAL </t>
  </si>
  <si>
    <t>EJECUTADO COSTO DIRECTO CONTRACTUAL</t>
  </si>
  <si>
    <t>N° 37</t>
  </si>
  <si>
    <t>enero - 2021</t>
  </si>
  <si>
    <t>N° 97</t>
  </si>
  <si>
    <t xml:space="preserve">Monto  Actualizado      </t>
  </si>
  <si>
    <t>:ING. ROLANDO CHUMBES TUEROS</t>
  </si>
  <si>
    <t>Fecha Final Contractual</t>
  </si>
  <si>
    <t xml:space="preserve">fecha final reprogramado </t>
  </si>
  <si>
    <t xml:space="preserve">      ESCALERA</t>
  </si>
  <si>
    <t>Valorizado S/. Actual</t>
  </si>
  <si>
    <t>A.P.U. ACTULIZACION 1</t>
  </si>
  <si>
    <t>A.P.U. ACTULIZACION 2</t>
  </si>
  <si>
    <t>Metrados</t>
  </si>
  <si>
    <t xml:space="preserve">SALDO  RECURSO ORDINARIOS - DETERMINADOS </t>
  </si>
  <si>
    <t>CUADRO RESPECTO AL PRESUPUESTO ASIGNADO AL 2021</t>
  </si>
  <si>
    <t>N° 098</t>
  </si>
  <si>
    <t>febrero - 2021</t>
  </si>
  <si>
    <t>CUADERNO 14</t>
  </si>
  <si>
    <t>N° 018</t>
  </si>
  <si>
    <t xml:space="preserve">DIEGO </t>
  </si>
  <si>
    <t>N° 019</t>
  </si>
  <si>
    <t>marzo - 2021</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</si>
  <si>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</si>
  <si>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</si>
  <si>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</si>
  <si>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</si>
  <si>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</si>
  <si>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</si>
  <si>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</si>
  <si>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</si>
  <si>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</si>
  <si>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</si>
  <si>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</si>
  <si>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</si>
  <si>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</si>
  <si>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</si>
  <si>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</si>
  <si>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</si>
  <si>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</si>
  <si>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</si>
  <si>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</si>
  <si>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</si>
  <si>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</si>
  <si>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</si>
  <si>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</si>
  <si>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</si>
  <si>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</si>
  <si>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</si>
  <si>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</si>
  <si>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</si>
  <si>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</si>
  <si>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</si>
  <si>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</si>
  <si>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</si>
  <si>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</si>
  <si>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</si>
  <si>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</si>
  <si>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</si>
  <si>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</si>
  <si>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</si>
  <si>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</si>
  <si>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</si>
  <si>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</si>
  <si>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</si>
  <si>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</si>
  <si>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</si>
  <si>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</si>
  <si>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</si>
  <si>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</si>
  <si>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</si>
  <si>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</si>
  <si>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</si>
  <si>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</si>
  <si>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</si>
  <si>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</si>
  <si>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</si>
  <si>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</si>
  <si>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</si>
  <si>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</si>
  <si>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</si>
  <si>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</si>
  <si>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</si>
  <si>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</si>
  <si>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</si>
  <si>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</si>
  <si>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</si>
  <si>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</si>
  <si>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</si>
  <si>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</si>
  <si>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</si>
  <si>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</si>
  <si>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</si>
  <si>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</si>
  <si>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</si>
  <si>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</si>
  <si>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</si>
  <si>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</si>
  <si>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</si>
  <si>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</si>
  <si>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</si>
  <si>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</si>
  <si>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</si>
  <si>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</si>
  <si>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</si>
  <si>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</si>
  <si>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</si>
  <si>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</si>
  <si>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</si>
  <si>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</si>
  <si>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</si>
  <si>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</si>
  <si>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</si>
  <si>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</si>
  <si>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</si>
  <si>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</si>
  <si>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</si>
  <si>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</si>
  <si>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</si>
  <si>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</si>
  <si>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</si>
  <si>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</si>
  <si>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</si>
  <si>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</si>
  <si>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</si>
  <si>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</si>
  <si>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</si>
  <si>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</si>
  <si>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</si>
  <si>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</si>
  <si>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</si>
  <si>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</si>
  <si>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</si>
  <si>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</si>
  <si>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</si>
  <si>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</si>
  <si>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</si>
  <si>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</si>
  <si>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</si>
  <si>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</si>
  <si>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</si>
  <si>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</si>
  <si>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</si>
  <si>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</si>
  <si>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</si>
  <si>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</si>
  <si>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</si>
  <si>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</si>
  <si>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</si>
  <si>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</si>
  <si>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</si>
  <si>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</si>
  <si>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</si>
  <si>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</si>
  <si>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</si>
  <si>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</si>
  <si>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</si>
  <si>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</si>
  <si>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</si>
  <si>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</si>
  <si>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</si>
  <si>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</si>
  <si>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</si>
  <si>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</si>
  <si>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</si>
  <si>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</si>
  <si>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</si>
  <si>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</si>
  <si>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</si>
  <si>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</si>
  <si>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</si>
  <si>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</si>
  <si>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</si>
  <si>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</si>
  <si>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</si>
  <si>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</si>
  <si>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</si>
  <si>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</si>
  <si>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</si>
  <si>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</si>
  <si>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</si>
  <si>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</si>
  <si>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</si>
  <si>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</si>
  <si>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</si>
  <si>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</si>
  <si>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</si>
  <si>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</si>
  <si>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</si>
  <si>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</si>
  <si>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</si>
  <si>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</si>
  <si>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</si>
  <si>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</si>
  <si>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</si>
  <si>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</si>
  <si>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</si>
  <si>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</si>
  <si>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</si>
  <si>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</si>
  <si>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</si>
  <si>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</si>
  <si>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</si>
  <si>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</si>
  <si>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</si>
  <si>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</si>
  <si>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</si>
  <si>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</si>
  <si>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</si>
  <si>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</si>
  <si>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</si>
  <si>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</si>
  <si>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</si>
  <si>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</si>
  <si>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</si>
  <si>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</si>
  <si>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</si>
  <si>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</si>
  <si>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</si>
  <si>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</si>
  <si>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</si>
  <si>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</si>
  <si>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</si>
  <si>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</si>
  <si>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</si>
  <si>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</si>
  <si>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</si>
  <si>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</si>
  <si>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</si>
  <si>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</si>
  <si>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</si>
  <si>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</si>
  <si>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</si>
  <si>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</si>
  <si>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</si>
  <si>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</si>
  <si>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</si>
  <si>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</si>
  <si>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</si>
  <si>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</si>
  <si>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</si>
  <si>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</si>
  <si>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</si>
  <si>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</si>
  <si>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</si>
  <si>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</si>
  <si>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</si>
  <si>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</si>
  <si>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</si>
  <si>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</si>
  <si>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</si>
  <si>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</si>
  <si>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</si>
  <si>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</si>
  <si>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</si>
  <si>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</si>
  <si>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</si>
  <si>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</si>
  <si>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</si>
  <si>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</si>
  <si>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</si>
  <si>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</si>
  <si>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</si>
  <si>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</si>
  <si>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</si>
  <si>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</si>
  <si>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</si>
  <si>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</si>
  <si>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</si>
  <si>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</si>
  <si>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</si>
  <si>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</si>
  <si>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</si>
  <si>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</si>
  <si>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</si>
  <si>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</si>
  <si>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</si>
  <si>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</si>
  <si>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</si>
  <si>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</si>
  <si>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</si>
  <si>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</si>
  <si>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</si>
  <si>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</si>
  <si>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</si>
  <si>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</si>
  <si>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</si>
  <si>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</si>
  <si>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</si>
  <si>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</si>
  <si>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</si>
  <si>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</si>
  <si>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</si>
  <si>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</si>
  <si>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</si>
  <si>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</si>
  <si>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</si>
  <si>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</si>
  <si>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</si>
  <si>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</si>
  <si>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</si>
  <si>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</si>
  <si>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</si>
  <si>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</si>
  <si>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</si>
  <si>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</si>
  <si>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</si>
  <si>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</si>
  <si>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</si>
  <si>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</si>
  <si>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</si>
  <si>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</si>
  <si>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</si>
  <si>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</si>
  <si>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</si>
  <si>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</si>
  <si>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</si>
  <si>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</si>
  <si>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</si>
  <si>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</si>
  <si>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</si>
  <si>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</si>
  <si>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</si>
  <si>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</si>
  <si>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</si>
  <si>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</si>
  <si>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</si>
  <si>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</si>
  <si>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</si>
  <si>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</si>
  <si>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</si>
  <si>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</si>
  <si>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</si>
  <si>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</si>
  <si>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</si>
  <si>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</si>
  <si>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</si>
  <si>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</si>
  <si>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</si>
  <si>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</si>
  <si>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</si>
  <si>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</si>
  <si>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</si>
  <si>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</si>
  <si>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</si>
  <si>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</si>
  <si>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</si>
  <si>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</si>
  <si>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</si>
  <si>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</si>
  <si>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</si>
  <si>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</si>
  <si>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</si>
  <si>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</si>
  <si>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</si>
  <si>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</si>
  <si>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</si>
  <si>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</si>
  <si>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</si>
  <si>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</si>
  <si>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</si>
  <si>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</si>
  <si>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</si>
  <si>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</si>
  <si>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</si>
  <si>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</si>
  <si>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</si>
  <si>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</si>
  <si>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</si>
  <si>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</si>
  <si>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</si>
  <si>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</si>
  <si>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</si>
  <si>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</si>
  <si>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</si>
  <si>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</si>
  <si>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</si>
  <si>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</si>
  <si>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</si>
  <si>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</si>
  <si>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</si>
  <si>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</si>
  <si>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</si>
  <si>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</si>
  <si>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</si>
  <si>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</si>
  <si>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</si>
  <si>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</si>
  <si>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</si>
  <si>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</si>
  <si>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</si>
  <si>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</si>
  <si>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</si>
  <si>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</si>
  <si>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</si>
  <si>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</si>
  <si>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</si>
  <si>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</si>
  <si>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</si>
  <si>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</si>
  <si>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</si>
  <si>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</si>
  <si>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</si>
  <si>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</si>
  <si>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</si>
  <si>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</si>
  <si>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</si>
  <si>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</si>
  <si>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</si>
  <si>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</si>
  <si>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</si>
  <si>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</si>
  <si>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</si>
  <si>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</si>
  <si>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</si>
  <si>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</si>
  <si>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</si>
  <si>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</si>
  <si>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</si>
  <si>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</si>
  <si>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</si>
  <si>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</si>
  <si>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</si>
  <si>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</si>
  <si>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</si>
  <si>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</si>
  <si>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</si>
  <si>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</si>
  <si>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</si>
  <si>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</si>
  <si>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</si>
  <si>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</si>
  <si>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</si>
  <si>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</si>
  <si>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</si>
  <si>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</si>
  <si>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</si>
  <si>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</si>
  <si>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</si>
  <si>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</si>
  <si>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</si>
  <si>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</si>
  <si>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</si>
  <si>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</si>
  <si>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</si>
  <si>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</si>
  <si>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</si>
  <si>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</si>
  <si>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</si>
  <si>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</si>
  <si>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</si>
  <si>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</si>
  <si>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</si>
  <si>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</si>
  <si>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</si>
  <si>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</si>
  <si>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</si>
  <si>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</si>
  <si>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</si>
  <si>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</si>
  <si>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</si>
  <si>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</si>
  <si>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</si>
  <si>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</si>
  <si>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</si>
  <si>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</si>
  <si>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</si>
  <si>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</si>
  <si>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</si>
  <si>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</si>
  <si>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</si>
  <si>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</si>
  <si>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</si>
  <si>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</si>
  <si>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</si>
  <si>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</si>
  <si>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</si>
  <si>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</si>
  <si>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</si>
  <si>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</si>
  <si>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</si>
  <si>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</si>
  <si>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</si>
  <si>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</si>
  <si>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</si>
  <si>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</si>
  <si>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</si>
  <si>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</si>
  <si>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</si>
  <si>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</si>
  <si>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</si>
  <si>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</si>
  <si>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</si>
  <si>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</si>
  <si>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</si>
  <si>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</si>
  <si>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</si>
  <si>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</si>
  <si>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</si>
  <si>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</si>
  <si>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</si>
  <si>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</si>
  <si>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</si>
  <si>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</si>
  <si>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</si>
  <si>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</si>
  <si>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</si>
  <si>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</si>
  <si>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</si>
  <si>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</si>
  <si>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</si>
  <si>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</si>
  <si>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</si>
  <si>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</si>
  <si>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</si>
  <si>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</si>
  <si>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</si>
  <si>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</si>
  <si>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</si>
  <si>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</si>
  <si>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</si>
  <si>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</si>
  <si>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</si>
  <si>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</si>
  <si>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</si>
  <si>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</si>
  <si>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</si>
  <si>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</si>
  <si>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</si>
  <si>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</si>
  <si>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</si>
  <si>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</si>
  <si>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</si>
  <si>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</si>
  <si>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</si>
  <si>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</si>
  <si>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</si>
  <si>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</si>
  <si>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</si>
  <si>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</si>
  <si>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</si>
  <si>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</si>
  <si>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</si>
  <si>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</si>
  <si>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</si>
  <si>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</si>
  <si>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</si>
  <si>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</si>
  <si>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</si>
  <si>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</si>
  <si>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</si>
  <si>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</si>
  <si>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</si>
  <si>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</si>
  <si>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</si>
  <si>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</si>
  <si>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</si>
  <si>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</si>
  <si>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</si>
  <si>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</si>
  <si>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</si>
  <si>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</si>
  <si>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</si>
  <si>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</si>
  <si>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</si>
  <si>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</si>
  <si>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</si>
  <si>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</si>
  <si>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</si>
  <si>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</si>
  <si>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</si>
  <si>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</si>
  <si>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</si>
  <si>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</si>
  <si>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</si>
  <si>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</si>
  <si>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</si>
  <si>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</si>
  <si>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</si>
  <si>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</si>
  <si>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</si>
  <si>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</si>
  <si>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</si>
  <si>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</si>
  <si>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</si>
  <si>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</si>
  <si>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</si>
  <si>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</si>
  <si>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</si>
  <si>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</si>
  <si>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</si>
  <si>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</si>
  <si>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</si>
  <si>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</si>
  <si>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</si>
  <si>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</si>
  <si>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</si>
  <si>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</si>
  <si>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</si>
  <si>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</si>
  <si>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</si>
  <si>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</si>
  <si>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</si>
  <si>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</si>
  <si>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</si>
  <si>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</si>
  <si>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</si>
  <si>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</si>
  <si>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</si>
  <si>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</si>
  <si>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</si>
  <si>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</si>
  <si>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</si>
  <si>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</si>
  <si>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</si>
  <si>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</si>
  <si>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</si>
  <si>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</si>
  <si>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</si>
  <si>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</si>
  <si>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</si>
  <si>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</si>
  <si>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</si>
  <si>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</si>
  <si>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</si>
  <si>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</si>
  <si>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</si>
  <si>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</si>
  <si>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</si>
  <si>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</si>
  <si>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</si>
  <si>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MES DE OCTUBRE - 2021</t>
  </si>
  <si>
    <t>Mes de: julio del 2019 - Octubre de 2021</t>
  </si>
  <si>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</si>
  <si>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</si>
  <si>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</si>
  <si>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</si>
  <si>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</si>
  <si>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</si>
  <si>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</si>
  <si>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</si>
  <si>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</si>
  <si>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</si>
  <si>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VALORIZACION N° 10 DE LA AMPLIACION PRESUPUESTAL N° 04 POR PARTIDAS NUEVAS</t>
  </si>
  <si>
    <t>SIN SALDO</t>
  </si>
  <si>
    <t>N° 41</t>
  </si>
  <si>
    <t>N° 87</t>
  </si>
  <si>
    <t>octubre - 2021</t>
  </si>
  <si>
    <t>METRADO</t>
  </si>
  <si>
    <t>2.2.2.- ADICIONALES (MAYORES METRADOS-  AMPLIACION PRESUPUESTAL N° 04)</t>
  </si>
  <si>
    <t>2.2.3.- ADICIONALES (PARTIDAS NUEVAS -  AMPLIACION PRESUPUESTAL N° 04)</t>
  </si>
  <si>
    <t>2.2.1.- EXPEDIENTE APROBADO</t>
  </si>
  <si>
    <t>Partidas del Expediente Aprobado, adicionales y mayores metrados</t>
  </si>
  <si>
    <t>31/09/2021</t>
  </si>
  <si>
    <t>(DEL 13 AL 31 DE OCTUBRE DE 2021)</t>
  </si>
  <si>
    <t>: 25/01/2022</t>
  </si>
  <si>
    <t>INFORME CORRESPONDIENTE AL MES DE OCTUBRE DE 2021</t>
  </si>
  <si>
    <t>DEDUCTIVO</t>
  </si>
  <si>
    <t>VALORIZACION N°10 DE LA AMPLIACION PRESUPUESTAL N° 4 MAYORES METRADOS</t>
  </si>
  <si>
    <t>TOTAL CD - DEDUCTIVO</t>
  </si>
  <si>
    <t>443-2021</t>
  </si>
  <si>
    <t>Noviembre de 2021</t>
  </si>
  <si>
    <t xml:space="preserve">   MES: NOVIEMBRE - 2021</t>
  </si>
  <si>
    <t xml:space="preserve">1. Presentación de requerimientos de las especialidades de estructuras, instalaciones eléctricas, instalaciones sanitarias instalaciones especiales y arquitectura.
2. Elaboración de requerimientos(metrado, especificaciones técnicas y planos según corresponda) de la especialidad de arquitectura
3. Recepción y verificación del cumplimiento de los términos de referencia y especificaciones técnicas de materiales de construcción que ya cuenten con orden de compra.
4. Seguimiento al trámite administrativo de la adquisición de materiales(bienes) y contratación de servicios. Se adjunta cuadro de seguimiento del tramite
5. Recepción de documentos y memorandos emitidos por la Sub Gerencia de Obras del G.R. APURIMAC, desde el primero de agosto del presenta año hasta la fecha.
6.- Emision de tareos del personal obrero
7. Emisión de conformidades de pago de órdenes de compra de materiales que se viene recepcionando.
En el presente mes la ejecucion fisica de la obra inicia el dia 01, siendo las actividades las siguientes:
8.- construccion de jardineras en acceso vehicular
9.- construccion de pavimento rigido en acceso vehicular
10.- construccion de guadianias en primaria y secundaria.
11.- intalcion de sistema de desague.
12.- instalacion de sistema de agua fria.
13.- instalacion de  sistema de agua pluvial.
14.- intalacion de tuberia y cableado de instalaciones electricas.
15.- instalacion de salidas de centros de luz y tomacorrientes.
16.- intalacion de tuberia y cableado de instalaciones especiales.
17.- asentado de ladrilloas caravista.
18.- pintado en interiores y exteriores
19.-tarrajeo de interiores y exteriores
21.- instalacion de pisos y zocalos con ceramicos.
22.- Elaboracion de puertas de madera
</t>
  </si>
  <si>
    <t>noviembre - 2021</t>
  </si>
  <si>
    <t>2.2.3.- ADICIONALES (PARTIDAS NUEVAS -  AMPLIACION PRESUPUESTAL N° 03)</t>
  </si>
  <si>
    <t>INFORME CORRESPONDIENTE AL MES DE NOVIEMBRE DEL 2021</t>
  </si>
  <si>
    <t>INFORME CORRESPONDIENTE AL MES DE NOVIEMBRE DE 2021</t>
  </si>
  <si>
    <t>Del 01 al 30 de Noviembre de 2021</t>
  </si>
  <si>
    <t>OBSERVACIONES:</t>
  </si>
  <si>
    <t>CUADERNO 19</t>
  </si>
  <si>
    <t>noviembre - 2022</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</si>
  <si>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</si>
  <si>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INFORME MENSUAL/FINAL DE OBRA Nº 31</t>
  </si>
  <si>
    <t>VALORIZACIÓN DE PARTIDAS PROGRAMADAS NOVIEMBRE 2021</t>
  </si>
  <si>
    <t xml:space="preserve"> INFORME CORRESPONDIENTE AL MES DE NOVIEMBRE DE 2021</t>
  </si>
  <si>
    <t>INFORME CORRESPONDIENTE AL MES DE NOVIEMBRE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</si>
</sst>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1" formatCode="#,##0.000000000000"/>
    <numFmt numFmtId="182" formatCode="#,##0.0_ ;\-#,##0.0\ "/>
    <numFmt numFmtId="183" formatCode="0.0000000000000000%"/>
    <numFmt numFmtId="184" formatCode="0.0%"/>
    <numFmt numFmtId="185" formatCode="_-* #,##0.00\ [$€]_-;\-* #,##0.00\ [$€]_-;_-* &quot;-&quot;??\ [$€]_-;_-@_-"/>
    <numFmt numFmtId="186" formatCode="_-* #,##0.00\ _€_-;\-* #,##0.00\ _€_-;_-* &quot;-&quot;??\ _€_-;_-@_-"/>
    <numFmt numFmtId="187" formatCode="_ * #,##0.0000_ ;_ * \-#,##0.0000_ ;_ * &quot;-&quot;??_ ;_ @_ "/>
  </numFmts>
  <fonts count="19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9"/>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63" fillId="0" borderId="0" applyFont="0" applyFill="0" applyBorder="0" applyAlignment="0" applyProtection="0"/>
    <xf numFmtId="169" fontId="14" fillId="0" borderId="0" applyFont="0" applyFill="0" applyBorder="0" applyAlignment="0" applyProtection="0"/>
    <xf numFmtId="164" fontId="63" fillId="0" borderId="0" applyFont="0" applyFill="0" applyBorder="0" applyAlignment="0" applyProtection="0"/>
    <xf numFmtId="166" fontId="14" fillId="0" borderId="0" applyFont="0" applyFill="0" applyBorder="0" applyAlignment="0" applyProtection="0">
      <alignment vertical="center"/>
    </xf>
    <xf numFmtId="0" fontId="14" fillId="0" borderId="0" applyFont="0" applyFill="0" applyBorder="0" applyAlignment="0" applyProtection="0"/>
    <xf numFmtId="0" fontId="63" fillId="0" borderId="0"/>
    <xf numFmtId="0" fontId="50" fillId="0" borderId="0">
      <alignment vertical="top"/>
    </xf>
    <xf numFmtId="0" fontId="63" fillId="0" borderId="0"/>
    <xf numFmtId="0" fontId="14" fillId="0" borderId="0"/>
    <xf numFmtId="0" fontId="14" fillId="0" borderId="0"/>
    <xf numFmtId="0" fontId="14" fillId="0" borderId="0"/>
    <xf numFmtId="0" fontId="14" fillId="0" borderId="0"/>
    <xf numFmtId="0" fontId="14" fillId="0" borderId="0"/>
    <xf numFmtId="0" fontId="15" fillId="0" borderId="0">
      <alignment vertical="center"/>
    </xf>
    <xf numFmtId="0" fontId="63" fillId="0" borderId="0"/>
    <xf numFmtId="0" fontId="14" fillId="0" borderId="0"/>
    <xf numFmtId="0" fontId="22" fillId="0" borderId="0"/>
    <xf numFmtId="0" fontId="63" fillId="0" borderId="0"/>
    <xf numFmtId="0" fontId="63" fillId="0" borderId="0"/>
    <xf numFmtId="0" fontId="14" fillId="0" borderId="0"/>
    <xf numFmtId="0" fontId="50" fillId="0" borderId="0">
      <alignment vertical="top"/>
    </xf>
    <xf numFmtId="0" fontId="15" fillId="0" borderId="0">
      <alignment vertical="center"/>
    </xf>
    <xf numFmtId="0" fontId="15" fillId="0" borderId="0">
      <alignment vertical="center"/>
    </xf>
    <xf numFmtId="9" fontId="14" fillId="0" borderId="0" applyFont="0" applyFill="0" applyBorder="0" applyAlignment="0" applyProtection="0"/>
    <xf numFmtId="9" fontId="14" fillId="0" borderId="0" applyFont="0" applyFill="0" applyBorder="0" applyAlignment="0" applyProtection="0">
      <alignment vertical="center"/>
    </xf>
    <xf numFmtId="9" fontId="14" fillId="0" borderId="0" applyFont="0" applyFill="0" applyBorder="0" applyAlignment="0" applyProtection="0"/>
    <xf numFmtId="9" fontId="14" fillId="0" borderId="0" applyFont="0" applyFill="0" applyBorder="0" applyAlignment="0" applyProtection="0"/>
    <xf numFmtId="0" fontId="23" fillId="0" borderId="0" applyNumberFormat="0" applyFill="0" applyBorder="0" applyProtection="0">
      <alignment vertical="center"/>
    </xf>
    <xf numFmtId="9" fontId="63" fillId="0" borderId="0" applyFont="0" applyFill="0" applyBorder="0" applyAlignment="0" applyProtection="0"/>
    <xf numFmtId="0" fontId="10" fillId="0" borderId="0"/>
    <xf numFmtId="9" fontId="78" fillId="0" borderId="0" applyFont="0" applyFill="0" applyBorder="0" applyAlignment="0" applyProtection="0"/>
    <xf numFmtId="0" fontId="9" fillId="0" borderId="0"/>
    <xf numFmtId="0" fontId="8" fillId="0" borderId="0"/>
    <xf numFmtId="0" fontId="8" fillId="0" borderId="0"/>
    <xf numFmtId="0" fontId="80" fillId="0" borderId="0"/>
    <xf numFmtId="0" fontId="7" fillId="0" borderId="0"/>
    <xf numFmtId="164" fontId="130" fillId="0" borderId="0" applyFont="0" applyFill="0" applyBorder="0" applyAlignment="0" applyProtection="0"/>
    <xf numFmtId="9" fontId="144" fillId="0" borderId="0" applyFont="0" applyFill="0" applyBorder="0" applyAlignment="0" applyProtection="0"/>
    <xf numFmtId="0" fontId="14" fillId="0" borderId="0"/>
    <xf numFmtId="178" fontId="14" fillId="0" borderId="0" applyFont="0" applyFill="0" applyBorder="0" applyAlignment="0" applyProtection="0"/>
    <xf numFmtId="166" fontId="1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4" fillId="0" borderId="0"/>
    <xf numFmtId="0" fontId="3" fillId="0" borderId="0"/>
    <xf numFmtId="0" fontId="14" fillId="0" borderId="0"/>
    <xf numFmtId="0" fontId="14" fillId="0" borderId="0"/>
    <xf numFmtId="0" fontId="15" fillId="0" borderId="0">
      <alignment vertical="center"/>
    </xf>
    <xf numFmtId="165" fontId="14" fillId="0" borderId="0" applyFont="0" applyFill="0" applyBorder="0" applyAlignment="0" applyProtection="0"/>
    <xf numFmtId="185" fontId="14" fillId="0" borderId="0"/>
    <xf numFmtId="0" fontId="50" fillId="0" borderId="0">
      <alignment vertical="top"/>
    </xf>
    <xf numFmtId="0" fontId="2" fillId="0" borderId="0"/>
  </cellStyleXfs>
  <cellXfs count="3143">
    <xf numFmtId="0" fontId="0" fillId="0" borderId="0" xfId="0"/>
    <xf numFmtId="0" fontId="15" fillId="0" borderId="0" xfId="12" applyFont="1"/>
    <xf numFmtId="0" fontId="13" fillId="0" borderId="0" xfId="12" applyFont="1"/>
    <xf numFmtId="0" fontId="15" fillId="0" borderId="0" xfId="12" applyFont="1" applyAlignment="1">
      <alignment horizontal="center"/>
    </xf>
    <xf numFmtId="0" fontId="15" fillId="0" borderId="0" xfId="12" applyFont="1" applyFill="1"/>
    <xf numFmtId="0" fontId="14" fillId="0" borderId="0" xfId="12" applyFont="1"/>
    <xf numFmtId="0" fontId="13" fillId="0" borderId="0" xfId="12" applyFont="1" applyFill="1" applyAlignment="1">
      <alignment horizontal="center"/>
    </xf>
    <xf numFmtId="0" fontId="13" fillId="0" borderId="0" xfId="12" applyFont="1" applyFill="1"/>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13" fillId="0" borderId="0" xfId="12" applyFont="1" applyAlignment="1">
      <alignment vertical="top"/>
    </xf>
    <xf numFmtId="4" fontId="13" fillId="0" borderId="0" xfId="12" applyNumberFormat="1" applyFont="1" applyFill="1"/>
    <xf numFmtId="4" fontId="13" fillId="0" borderId="0" xfId="12" applyNumberFormat="1" applyFont="1" applyFill="1" applyAlignment="1">
      <alignment horizontal="center"/>
    </xf>
    <xf numFmtId="14" fontId="15" fillId="0" borderId="0" xfId="12" applyNumberFormat="1" applyFont="1" applyAlignment="1">
      <alignment horizontal="left"/>
    </xf>
    <xf numFmtId="49" fontId="15" fillId="0" borderId="0" xfId="12" applyNumberFormat="1" applyFont="1"/>
    <xf numFmtId="1" fontId="15" fillId="0" borderId="0" xfId="12" applyNumberFormat="1" applyFont="1" applyAlignment="1">
      <alignment horizontal="left"/>
    </xf>
    <xf numFmtId="0" fontId="14" fillId="4" borderId="0" xfId="12" applyFont="1" applyFill="1"/>
    <xf numFmtId="0" fontId="16" fillId="0" borderId="12" xfId="12" applyFont="1" applyBorder="1" applyAlignment="1" applyProtection="1">
      <alignment vertical="center"/>
      <protection locked="0"/>
    </xf>
    <xf numFmtId="0" fontId="17" fillId="0" borderId="0" xfId="12" applyFont="1"/>
    <xf numFmtId="0" fontId="18" fillId="0" borderId="12" xfId="12" applyFont="1" applyBorder="1" applyAlignment="1" applyProtection="1">
      <alignment vertical="center"/>
      <protection locked="0"/>
    </xf>
    <xf numFmtId="4" fontId="17" fillId="0" borderId="12" xfId="12" applyNumberFormat="1" applyFont="1" applyFill="1" applyBorder="1"/>
    <xf numFmtId="2" fontId="17" fillId="0" borderId="12" xfId="12" applyNumberFormat="1" applyFont="1" applyBorder="1"/>
    <xf numFmtId="4" fontId="17" fillId="0" borderId="12" xfId="12" applyNumberFormat="1" applyFont="1" applyBorder="1"/>
    <xf numFmtId="10" fontId="17" fillId="0" borderId="12" xfId="12" applyNumberFormat="1" applyFont="1" applyBorder="1"/>
    <xf numFmtId="0" fontId="19" fillId="0" borderId="12" xfId="12" applyFont="1" applyBorder="1" applyAlignment="1" applyProtection="1">
      <alignment vertical="center"/>
      <protection locked="0"/>
    </xf>
    <xf numFmtId="4" fontId="19" fillId="0" borderId="12" xfId="12" applyNumberFormat="1" applyFont="1" applyBorder="1" applyAlignment="1" applyProtection="1">
      <alignment vertical="center"/>
      <protection locked="0"/>
    </xf>
    <xf numFmtId="4" fontId="17" fillId="0" borderId="0" xfId="12" applyNumberFormat="1" applyFont="1"/>
    <xf numFmtId="0" fontId="14" fillId="0" borderId="0" xfId="12" applyNumberFormat="1" applyFont="1"/>
    <xf numFmtId="10" fontId="13" fillId="0" borderId="5" xfId="12" applyNumberFormat="1" applyFont="1" applyBorder="1" applyAlignment="1">
      <alignment horizontal="center"/>
    </xf>
    <xf numFmtId="0" fontId="15" fillId="0" borderId="0" xfId="12" applyNumberFormat="1" applyFont="1" applyBorder="1"/>
    <xf numFmtId="0" fontId="13" fillId="0" borderId="0" xfId="12" applyNumberFormat="1" applyFont="1" applyBorder="1" applyAlignment="1">
      <alignment horizontal="right"/>
    </xf>
    <xf numFmtId="0" fontId="15" fillId="0" borderId="0" xfId="12" applyNumberFormat="1" applyFont="1" applyBorder="1" applyAlignment="1">
      <alignment horizontal="center" vertical="center"/>
    </xf>
    <xf numFmtId="0" fontId="13" fillId="0" borderId="0" xfId="12" applyNumberFormat="1" applyFont="1" applyBorder="1"/>
    <xf numFmtId="0" fontId="13" fillId="0" borderId="0" xfId="12" applyNumberFormat="1" applyFont="1" applyFill="1" applyBorder="1"/>
    <xf numFmtId="0" fontId="13" fillId="0" borderId="0" xfId="12" applyNumberFormat="1" applyFont="1" applyFill="1" applyBorder="1" applyAlignment="1">
      <alignment horizontal="right"/>
    </xf>
    <xf numFmtId="0" fontId="15" fillId="0" borderId="0" xfId="12" applyNumberFormat="1" applyFont="1" applyFill="1" applyBorder="1" applyAlignment="1">
      <alignment horizontal="right"/>
    </xf>
    <xf numFmtId="4" fontId="13" fillId="0" borderId="0" xfId="12" applyNumberFormat="1" applyFont="1" applyBorder="1" applyAlignment="1">
      <alignment horizontal="right"/>
    </xf>
    <xf numFmtId="10" fontId="21" fillId="0" borderId="16" xfId="12" applyNumberFormat="1" applyFont="1" applyFill="1" applyBorder="1" applyAlignment="1">
      <alignment horizontal="right"/>
    </xf>
    <xf numFmtId="0" fontId="14" fillId="2" borderId="16" xfId="12" applyNumberFormat="1" applyFont="1" applyFill="1" applyBorder="1"/>
    <xf numFmtId="0" fontId="0" fillId="2" borderId="16" xfId="12" applyNumberFormat="1" applyFont="1" applyFill="1" applyBorder="1"/>
    <xf numFmtId="0" fontId="21" fillId="2" borderId="16" xfId="12" applyNumberFormat="1" applyFont="1" applyFill="1" applyBorder="1" applyAlignment="1">
      <alignment horizontal="right"/>
    </xf>
    <xf numFmtId="0" fontId="14" fillId="0" borderId="0" xfId="12" applyNumberFormat="1" applyFont="1" applyBorder="1"/>
    <xf numFmtId="0" fontId="14" fillId="0" borderId="0" xfId="12" applyNumberFormat="1" applyFont="1" applyAlignment="1">
      <alignment horizontal="center" vertical="center"/>
    </xf>
    <xf numFmtId="0" fontId="21" fillId="0" borderId="0" xfId="12" applyNumberFormat="1" applyFont="1" applyBorder="1"/>
    <xf numFmtId="0" fontId="14" fillId="0" borderId="0" xfId="12" applyNumberFormat="1" applyFont="1" applyFill="1" applyBorder="1"/>
    <xf numFmtId="0" fontId="21" fillId="0" borderId="0" xfId="12" applyNumberFormat="1" applyFont="1" applyFill="1" applyBorder="1" applyAlignment="1">
      <alignment horizontal="right"/>
    </xf>
    <xf numFmtId="0" fontId="14"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7" fillId="0" borderId="0" xfId="12" applyFont="1" applyFill="1"/>
    <xf numFmtId="4" fontId="13" fillId="0" borderId="0" xfId="12" applyNumberFormat="1" applyFont="1" applyBorder="1"/>
    <xf numFmtId="14" fontId="15" fillId="0" borderId="0" xfId="12" applyNumberFormat="1" applyFont="1" applyAlignment="1">
      <alignment vertical="top"/>
    </xf>
    <xf numFmtId="0" fontId="14" fillId="0" borderId="0" xfId="12" applyFont="1" applyBorder="1"/>
    <xf numFmtId="0" fontId="14" fillId="0" borderId="0" xfId="12" applyFont="1" applyFill="1" applyBorder="1"/>
    <xf numFmtId="0" fontId="14" fillId="0" borderId="5" xfId="12" applyFont="1" applyFill="1" applyBorder="1"/>
    <xf numFmtId="0" fontId="21" fillId="0" borderId="0" xfId="12" applyNumberFormat="1" applyFont="1" applyFill="1" applyBorder="1" applyAlignment="1">
      <alignment horizontal="center"/>
    </xf>
    <xf numFmtId="0" fontId="14" fillId="0" borderId="0" xfId="12" applyFont="1" applyFill="1"/>
    <xf numFmtId="0" fontId="14" fillId="0" borderId="0" xfId="12" applyNumberFormat="1" applyFont="1" applyFill="1"/>
    <xf numFmtId="0" fontId="21" fillId="0" borderId="16" xfId="12" applyNumberFormat="1" applyFont="1" applyFill="1" applyBorder="1"/>
    <xf numFmtId="0" fontId="21" fillId="0" borderId="0" xfId="12" applyNumberFormat="1" applyFont="1" applyFill="1" applyBorder="1"/>
    <xf numFmtId="2" fontId="24" fillId="0" borderId="0" xfId="23" applyNumberFormat="1" applyFont="1" applyFill="1" applyBorder="1" applyAlignment="1"/>
    <xf numFmtId="2" fontId="11" fillId="0" borderId="0" xfId="23" applyNumberFormat="1" applyFont="1" applyFill="1" applyBorder="1"/>
    <xf numFmtId="2" fontId="11" fillId="0" borderId="0" xfId="23" applyNumberFormat="1" applyFont="1" applyFill="1" applyBorder="1" applyAlignment="1">
      <alignment horizontal="center"/>
    </xf>
    <xf numFmtId="2" fontId="11" fillId="0" borderId="0" xfId="23" applyNumberFormat="1" applyFont="1" applyFill="1" applyBorder="1" applyAlignment="1">
      <alignment horizontal="right"/>
    </xf>
    <xf numFmtId="2" fontId="12" fillId="0" borderId="0" xfId="23" applyNumberFormat="1" applyFont="1" applyFill="1" applyBorder="1" applyAlignment="1">
      <alignment horizontal="right"/>
    </xf>
    <xf numFmtId="2" fontId="25" fillId="0" borderId="0" xfId="23" applyNumberFormat="1" applyFont="1" applyFill="1" applyBorder="1" applyAlignment="1">
      <alignment horizontal="right"/>
    </xf>
    <xf numFmtId="2" fontId="11" fillId="0" borderId="0" xfId="23" applyNumberFormat="1" applyFont="1" applyFill="1" applyBorder="1" applyAlignment="1"/>
    <xf numFmtId="2" fontId="25" fillId="0" borderId="0" xfId="23" applyNumberFormat="1" applyFont="1" applyFill="1" applyBorder="1" applyAlignment="1"/>
    <xf numFmtId="2" fontId="12" fillId="0" borderId="0" xfId="23" applyNumberFormat="1" applyFont="1" applyFill="1" applyBorder="1" applyAlignment="1"/>
    <xf numFmtId="2" fontId="12" fillId="0" borderId="0" xfId="23" applyNumberFormat="1" applyFont="1" applyFill="1" applyBorder="1"/>
    <xf numFmtId="2" fontId="27" fillId="0" borderId="0" xfId="23" applyNumberFormat="1" applyFont="1" applyFill="1" applyBorder="1"/>
    <xf numFmtId="2" fontId="28" fillId="0" borderId="0" xfId="23" applyNumberFormat="1" applyFont="1" applyFill="1"/>
    <xf numFmtId="2" fontId="27" fillId="0" borderId="0" xfId="23" applyNumberFormat="1" applyFont="1" applyFill="1" applyBorder="1" applyAlignment="1">
      <alignment horizontal="center"/>
    </xf>
    <xf numFmtId="2" fontId="29" fillId="0" borderId="0" xfId="23" applyNumberFormat="1" applyFont="1" applyFill="1" applyBorder="1" applyAlignment="1">
      <alignment horizontal="center"/>
    </xf>
    <xf numFmtId="2" fontId="29" fillId="0" borderId="0" xfId="23" applyNumberFormat="1" applyFont="1" applyFill="1" applyBorder="1" applyAlignment="1">
      <alignment horizontal="right"/>
    </xf>
    <xf numFmtId="2" fontId="29" fillId="0" borderId="0" xfId="23" applyNumberFormat="1" applyFont="1" applyFill="1" applyAlignment="1">
      <alignment horizontal="right"/>
    </xf>
    <xf numFmtId="2" fontId="27" fillId="0" borderId="0" xfId="23" applyNumberFormat="1" applyFont="1" applyFill="1" applyBorder="1" applyAlignment="1">
      <alignment horizontal="right"/>
    </xf>
    <xf numFmtId="2" fontId="30" fillId="0" borderId="0" xfId="23" applyNumberFormat="1" applyFont="1" applyFill="1" applyAlignment="1">
      <alignment horizontal="right"/>
    </xf>
    <xf numFmtId="2" fontId="12" fillId="5" borderId="8" xfId="23" applyNumberFormat="1" applyFont="1" applyFill="1" applyBorder="1" applyAlignment="1">
      <alignment horizontal="center"/>
    </xf>
    <xf numFmtId="2" fontId="25" fillId="5" borderId="8" xfId="23" applyNumberFormat="1" applyFont="1" applyFill="1" applyBorder="1" applyAlignment="1">
      <alignment horizontal="center"/>
    </xf>
    <xf numFmtId="2" fontId="28" fillId="0" borderId="0" xfId="23" applyNumberFormat="1" applyFont="1" applyFill="1" applyBorder="1"/>
    <xf numFmtId="2" fontId="14" fillId="0" borderId="23" xfId="8" applyNumberFormat="1" applyFont="1" applyFill="1" applyBorder="1" applyAlignment="1">
      <alignment horizontal="center"/>
    </xf>
    <xf numFmtId="2" fontId="14" fillId="0" borderId="23" xfId="8" applyNumberFormat="1" applyFont="1" applyFill="1" applyBorder="1" applyAlignment="1">
      <alignment horizontal="right"/>
    </xf>
    <xf numFmtId="2" fontId="14" fillId="0" borderId="24" xfId="8" applyNumberFormat="1" applyFont="1" applyFill="1" applyBorder="1" applyAlignment="1">
      <alignment horizontal="right"/>
    </xf>
    <xf numFmtId="2" fontId="25" fillId="0" borderId="24" xfId="23" applyNumberFormat="1" applyFont="1" applyFill="1" applyBorder="1" applyAlignment="1">
      <alignment horizontal="right"/>
    </xf>
    <xf numFmtId="2" fontId="14" fillId="0" borderId="24" xfId="8" applyNumberFormat="1" applyFont="1" applyFill="1" applyBorder="1" applyAlignment="1">
      <alignment horizontal="center"/>
    </xf>
    <xf numFmtId="2" fontId="38" fillId="0" borderId="0" xfId="23" applyNumberFormat="1" applyFont="1" applyFill="1" applyAlignment="1"/>
    <xf numFmtId="2" fontId="39" fillId="0" borderId="0" xfId="23" applyNumberFormat="1" applyFont="1" applyFill="1"/>
    <xf numFmtId="2" fontId="39" fillId="0" borderId="0" xfId="23" applyNumberFormat="1" applyFont="1" applyFill="1" applyAlignment="1">
      <alignment horizontal="center"/>
    </xf>
    <xf numFmtId="2" fontId="38" fillId="0" borderId="0" xfId="23" applyNumberFormat="1" applyFont="1" applyFill="1" applyAlignment="1">
      <alignment horizontal="center"/>
    </xf>
    <xf numFmtId="2" fontId="39" fillId="0" borderId="0" xfId="23" applyNumberFormat="1" applyFont="1" applyFill="1" applyAlignment="1">
      <alignment horizontal="right"/>
    </xf>
    <xf numFmtId="2" fontId="38" fillId="0" borderId="0" xfId="23" applyNumberFormat="1" applyFont="1" applyFill="1" applyAlignment="1">
      <alignment horizontal="right"/>
    </xf>
    <xf numFmtId="2" fontId="40" fillId="0" borderId="0" xfId="23" applyNumberFormat="1" applyFont="1" applyFill="1"/>
    <xf numFmtId="2" fontId="40" fillId="0" borderId="0" xfId="23" applyNumberFormat="1" applyFont="1" applyFill="1" applyBorder="1"/>
    <xf numFmtId="0" fontId="19" fillId="0" borderId="12" xfId="12" applyFont="1" applyBorder="1" applyAlignment="1" applyProtection="1">
      <alignment horizontal="center" vertical="center"/>
      <protection locked="0"/>
    </xf>
    <xf numFmtId="0" fontId="15" fillId="0" borderId="0" xfId="12" applyNumberFormat="1" applyFont="1" applyBorder="1" applyAlignment="1">
      <alignment horizontal="center"/>
    </xf>
    <xf numFmtId="0" fontId="14" fillId="0" borderId="0" xfId="12" applyNumberFormat="1" applyFont="1" applyBorder="1" applyAlignment="1">
      <alignment horizontal="center"/>
    </xf>
    <xf numFmtId="0" fontId="17" fillId="0" borderId="0" xfId="12" applyFont="1" applyAlignment="1">
      <alignment horizontal="center"/>
    </xf>
    <xf numFmtId="4" fontId="17" fillId="0" borderId="12" xfId="12" applyNumberFormat="1" applyFont="1" applyBorder="1" applyAlignment="1" applyProtection="1">
      <alignment vertical="center"/>
      <protection locked="0"/>
    </xf>
    <xf numFmtId="10" fontId="21" fillId="0" borderId="5" xfId="12" applyNumberFormat="1" applyFont="1" applyBorder="1" applyAlignment="1">
      <alignment horizontal="center"/>
    </xf>
    <xf numFmtId="0" fontId="21" fillId="0" borderId="0" xfId="12" applyNumberFormat="1" applyFont="1" applyBorder="1" applyAlignment="1">
      <alignment horizontal="right"/>
    </xf>
    <xf numFmtId="0" fontId="14" fillId="0" borderId="0" xfId="12" applyNumberFormat="1" applyFont="1" applyBorder="1" applyAlignment="1">
      <alignment horizontal="center" vertical="center"/>
    </xf>
    <xf numFmtId="10" fontId="21" fillId="5" borderId="16" xfId="12" applyNumberFormat="1" applyFont="1" applyFill="1" applyBorder="1" applyAlignment="1">
      <alignment horizontal="center"/>
    </xf>
    <xf numFmtId="4" fontId="41" fillId="0" borderId="5" xfId="12" applyNumberFormat="1" applyFont="1" applyFill="1" applyBorder="1" applyAlignment="1">
      <alignment horizontal="center" vertical="center"/>
    </xf>
    <xf numFmtId="10" fontId="41" fillId="0" borderId="5" xfId="29" applyNumberFormat="1" applyFont="1" applyFill="1" applyBorder="1" applyAlignment="1">
      <alignment horizontal="center" vertical="center"/>
    </xf>
    <xf numFmtId="0" fontId="65" fillId="0" borderId="0" xfId="0" applyFont="1" applyFill="1"/>
    <xf numFmtId="0" fontId="43" fillId="0" borderId="0" xfId="0" applyFont="1" applyFill="1"/>
    <xf numFmtId="0" fontId="43" fillId="0" borderId="0" xfId="0" applyFont="1" applyFill="1" applyBorder="1"/>
    <xf numFmtId="0" fontId="43" fillId="0" borderId="8" xfId="0" applyFont="1" applyFill="1" applyBorder="1"/>
    <xf numFmtId="0" fontId="0" fillId="0" borderId="0" xfId="0" applyAlignment="1">
      <alignment horizontal="center"/>
    </xf>
    <xf numFmtId="0" fontId="44" fillId="0" borderId="0" xfId="0" applyFont="1" applyFill="1"/>
    <xf numFmtId="0" fontId="45" fillId="0" borderId="0" xfId="0" applyFont="1" applyFill="1"/>
    <xf numFmtId="0" fontId="66" fillId="0" borderId="0" xfId="0" applyFont="1" applyFill="1"/>
    <xf numFmtId="0" fontId="46" fillId="0" borderId="0" xfId="0" applyFont="1" applyFill="1"/>
    <xf numFmtId="0" fontId="42" fillId="4" borderId="0" xfId="0" applyFont="1" applyFill="1"/>
    <xf numFmtId="0" fontId="39" fillId="0" borderId="5" xfId="0" applyFont="1" applyBorder="1"/>
    <xf numFmtId="0" fontId="38" fillId="0" borderId="5" xfId="0" applyFont="1" applyBorder="1" applyAlignment="1">
      <alignment horizontal="center"/>
    </xf>
    <xf numFmtId="2" fontId="38" fillId="0" borderId="5" xfId="0" applyNumberFormat="1" applyFont="1" applyFill="1" applyBorder="1"/>
    <xf numFmtId="2" fontId="39" fillId="0" borderId="5" xfId="0" applyNumberFormat="1" applyFont="1" applyFill="1" applyBorder="1"/>
    <xf numFmtId="2" fontId="38" fillId="0" borderId="5" xfId="0" applyNumberFormat="1" applyFont="1" applyFill="1" applyBorder="1" applyAlignment="1">
      <alignment horizontal="right"/>
    </xf>
    <xf numFmtId="4" fontId="11" fillId="0" borderId="0" xfId="23" applyNumberFormat="1" applyFont="1" applyFill="1" applyBorder="1" applyAlignment="1">
      <alignment horizontal="center"/>
    </xf>
    <xf numFmtId="4" fontId="39" fillId="0" borderId="5" xfId="23" applyNumberFormat="1" applyFont="1" applyFill="1" applyBorder="1" applyAlignment="1">
      <alignment horizontal="center"/>
    </xf>
    <xf numFmtId="4" fontId="39" fillId="0" borderId="5" xfId="0" applyNumberFormat="1" applyFont="1" applyBorder="1" applyAlignment="1">
      <alignment horizontal="center"/>
    </xf>
    <xf numFmtId="4" fontId="0" fillId="0" borderId="0" xfId="0" applyNumberFormat="1" applyAlignment="1">
      <alignment horizontal="center"/>
    </xf>
    <xf numFmtId="0" fontId="21" fillId="0" borderId="0" xfId="0" applyFont="1" applyAlignment="1">
      <alignment horizontal="center"/>
    </xf>
    <xf numFmtId="0" fontId="48" fillId="0" borderId="0" xfId="0" applyFont="1"/>
    <xf numFmtId="49" fontId="67" fillId="0" borderId="4" xfId="0" applyNumberFormat="1" applyFont="1" applyBorder="1"/>
    <xf numFmtId="49" fontId="67" fillId="0" borderId="9" xfId="0" applyNumberFormat="1" applyFont="1" applyBorder="1"/>
    <xf numFmtId="49" fontId="15" fillId="0" borderId="4" xfId="0" applyNumberFormat="1" applyFont="1" applyBorder="1"/>
    <xf numFmtId="49" fontId="15" fillId="0" borderId="9" xfId="0" applyNumberFormat="1" applyFont="1" applyBorder="1"/>
    <xf numFmtId="49" fontId="68" fillId="0" borderId="4" xfId="0" applyNumberFormat="1" applyFont="1" applyBorder="1"/>
    <xf numFmtId="49" fontId="68" fillId="0" borderId="9" xfId="0" applyNumberFormat="1" applyFont="1" applyBorder="1"/>
    <xf numFmtId="49" fontId="15" fillId="0" borderId="9" xfId="0" applyNumberFormat="1" applyFont="1" applyBorder="1" applyAlignment="1"/>
    <xf numFmtId="49" fontId="69" fillId="0" borderId="4" xfId="0" applyNumberFormat="1" applyFont="1" applyBorder="1"/>
    <xf numFmtId="49" fontId="69" fillId="0" borderId="9" xfId="0" applyNumberFormat="1" applyFont="1" applyBorder="1"/>
    <xf numFmtId="4" fontId="15" fillId="0" borderId="5" xfId="0" applyNumberFormat="1" applyFont="1" applyBorder="1"/>
    <xf numFmtId="2" fontId="39" fillId="0" borderId="5" xfId="0" applyNumberFormat="1" applyFont="1" applyBorder="1"/>
    <xf numFmtId="2" fontId="39" fillId="0" borderId="5" xfId="2" applyNumberFormat="1" applyFont="1" applyFill="1" applyBorder="1" applyAlignment="1">
      <alignment horizontal="right"/>
    </xf>
    <xf numFmtId="4" fontId="39" fillId="0" borderId="5" xfId="0" applyNumberFormat="1" applyFont="1" applyFill="1" applyBorder="1" applyAlignment="1">
      <alignment horizontal="center"/>
    </xf>
    <xf numFmtId="2" fontId="39" fillId="0" borderId="5" xfId="0" applyNumberFormat="1" applyFont="1" applyFill="1" applyBorder="1" applyAlignment="1">
      <alignment horizontal="center"/>
    </xf>
    <xf numFmtId="0" fontId="38" fillId="0" borderId="5" xfId="0" applyFont="1" applyBorder="1"/>
    <xf numFmtId="0" fontId="17" fillId="0" borderId="5" xfId="12" applyFont="1" applyBorder="1" applyAlignment="1" applyProtection="1">
      <alignment horizontal="center" vertical="center"/>
      <protection locked="0"/>
    </xf>
    <xf numFmtId="2" fontId="38" fillId="0" borderId="24" xfId="23" applyNumberFormat="1" applyFont="1" applyFill="1" applyBorder="1" applyAlignment="1">
      <alignment horizontal="right"/>
    </xf>
    <xf numFmtId="2" fontId="39" fillId="0" borderId="5" xfId="23" applyNumberFormat="1" applyFont="1" applyFill="1" applyBorder="1" applyAlignment="1">
      <alignment horizontal="center"/>
    </xf>
    <xf numFmtId="0" fontId="38" fillId="0" borderId="11" xfId="0" applyFont="1" applyBorder="1" applyAlignment="1">
      <alignment horizontal="center"/>
    </xf>
    <xf numFmtId="2" fontId="14" fillId="0" borderId="0" xfId="8" applyNumberFormat="1" applyFont="1" applyFill="1" applyBorder="1" applyAlignment="1">
      <alignment horizontal="right"/>
    </xf>
    <xf numFmtId="4" fontId="20"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7" fillId="0" borderId="6" xfId="23" applyNumberFormat="1" applyFont="1" applyFill="1" applyBorder="1" applyAlignment="1">
      <alignment horizontal="center"/>
    </xf>
    <xf numFmtId="0" fontId="39" fillId="0" borderId="6" xfId="0" applyFont="1" applyFill="1" applyBorder="1" applyAlignment="1">
      <alignment horizontal="center"/>
    </xf>
    <xf numFmtId="2" fontId="38" fillId="0" borderId="6" xfId="8" applyNumberFormat="1" applyFont="1" applyFill="1" applyBorder="1" applyAlignment="1">
      <alignment horizontal="right"/>
    </xf>
    <xf numFmtId="0" fontId="38" fillId="0" borderId="6" xfId="0" applyFont="1" applyBorder="1"/>
    <xf numFmtId="0" fontId="38" fillId="0" borderId="6" xfId="0" applyFont="1" applyFill="1" applyBorder="1" applyAlignment="1">
      <alignment horizontal="left"/>
    </xf>
    <xf numFmtId="0" fontId="39" fillId="0" borderId="6" xfId="0" applyFont="1" applyBorder="1"/>
    <xf numFmtId="2" fontId="38" fillId="0" borderId="6" xfId="2" applyNumberFormat="1" applyFont="1" applyFill="1" applyBorder="1" applyAlignment="1">
      <alignment horizontal="center" vertical="center"/>
    </xf>
    <xf numFmtId="0" fontId="49" fillId="0" borderId="6" xfId="0" applyFont="1" applyBorder="1"/>
    <xf numFmtId="2" fontId="39" fillId="4" borderId="6" xfId="23" applyNumberFormat="1" applyFont="1" applyFill="1" applyBorder="1" applyAlignment="1">
      <alignment horizontal="right"/>
    </xf>
    <xf numFmtId="2" fontId="71" fillId="0" borderId="6" xfId="2" applyNumberFormat="1" applyFont="1" applyFill="1" applyBorder="1" applyAlignment="1">
      <alignment horizontal="center" vertical="center"/>
    </xf>
    <xf numFmtId="0" fontId="0" fillId="0" borderId="6" xfId="0" applyBorder="1"/>
    <xf numFmtId="0" fontId="0" fillId="0" borderId="35" xfId="0" applyBorder="1"/>
    <xf numFmtId="2" fontId="11" fillId="0" borderId="0" xfId="23" applyNumberFormat="1" applyFont="1" applyFill="1" applyBorder="1" applyAlignment="1">
      <alignment horizontal="left"/>
    </xf>
    <xf numFmtId="2" fontId="24" fillId="0" borderId="0" xfId="23" applyNumberFormat="1" applyFont="1" applyFill="1" applyBorder="1" applyAlignment="1">
      <alignment horizontal="left"/>
    </xf>
    <xf numFmtId="2" fontId="12" fillId="0" borderId="0" xfId="23" applyNumberFormat="1" applyFont="1" applyFill="1" applyBorder="1" applyAlignment="1">
      <alignment horizontal="left"/>
    </xf>
    <xf numFmtId="0" fontId="0" fillId="0" borderId="0" xfId="0" applyAlignment="1">
      <alignment horizontal="left"/>
    </xf>
    <xf numFmtId="4" fontId="48" fillId="0" borderId="0" xfId="0" applyNumberFormat="1" applyFont="1"/>
    <xf numFmtId="0" fontId="11" fillId="0" borderId="0" xfId="12" applyFont="1" applyAlignment="1">
      <alignment vertical="top"/>
    </xf>
    <xf numFmtId="0" fontId="11" fillId="0" borderId="0" xfId="12" applyFont="1"/>
    <xf numFmtId="0" fontId="11" fillId="0" borderId="0" xfId="12" applyFont="1" applyAlignment="1">
      <alignment horizontal="center"/>
    </xf>
    <xf numFmtId="4" fontId="11" fillId="0" borderId="0" xfId="12" applyNumberFormat="1" applyFont="1" applyFill="1" applyAlignment="1">
      <alignment vertical="top"/>
    </xf>
    <xf numFmtId="4" fontId="11" fillId="0" borderId="0" xfId="12" applyNumberFormat="1" applyFont="1" applyFill="1" applyAlignment="1">
      <alignment horizontal="center" vertical="top"/>
    </xf>
    <xf numFmtId="0" fontId="21" fillId="0" borderId="0" xfId="12" applyFont="1"/>
    <xf numFmtId="0" fontId="14" fillId="0" borderId="0" xfId="12" applyFont="1" applyAlignment="1">
      <alignment horizontal="center"/>
    </xf>
    <xf numFmtId="170" fontId="17" fillId="0" borderId="0" xfId="12" applyNumberFormat="1" applyFont="1"/>
    <xf numFmtId="49" fontId="15" fillId="0" borderId="36" xfId="0" applyNumberFormat="1" applyFont="1" applyBorder="1"/>
    <xf numFmtId="49" fontId="67" fillId="0" borderId="36" xfId="0" applyNumberFormat="1" applyFont="1" applyBorder="1"/>
    <xf numFmtId="49" fontId="68" fillId="0" borderId="36" xfId="0" applyNumberFormat="1" applyFont="1" applyBorder="1"/>
    <xf numFmtId="49" fontId="69" fillId="0" borderId="36" xfId="0" applyNumberFormat="1" applyFont="1" applyBorder="1"/>
    <xf numFmtId="49" fontId="15" fillId="0" borderId="37" xfId="0" applyNumberFormat="1" applyFont="1" applyBorder="1"/>
    <xf numFmtId="49" fontId="15" fillId="0" borderId="31" xfId="0" applyNumberFormat="1" applyFont="1" applyBorder="1"/>
    <xf numFmtId="49" fontId="15" fillId="0" borderId="31" xfId="0" applyNumberFormat="1" applyFont="1" applyBorder="1" applyAlignment="1"/>
    <xf numFmtId="49" fontId="68" fillId="0" borderId="31" xfId="0" applyNumberFormat="1" applyFont="1" applyBorder="1" applyAlignment="1"/>
    <xf numFmtId="49" fontId="68" fillId="0" borderId="31" xfId="0" applyNumberFormat="1" applyFont="1" applyBorder="1"/>
    <xf numFmtId="49" fontId="67" fillId="0" borderId="31" xfId="0" applyNumberFormat="1" applyFont="1" applyBorder="1"/>
    <xf numFmtId="49" fontId="69" fillId="0" borderId="31" xfId="0" applyNumberFormat="1" applyFont="1" applyBorder="1"/>
    <xf numFmtId="49" fontId="15" fillId="0" borderId="39" xfId="0" applyNumberFormat="1" applyFont="1" applyBorder="1"/>
    <xf numFmtId="0" fontId="13" fillId="4" borderId="10" xfId="12" applyFont="1" applyFill="1" applyBorder="1" applyAlignment="1">
      <alignment horizontal="center" vertical="center"/>
    </xf>
    <xf numFmtId="0" fontId="17" fillId="0" borderId="10" xfId="12" applyFont="1" applyBorder="1" applyAlignment="1" applyProtection="1">
      <alignment horizontal="center" vertical="center"/>
      <protection locked="0"/>
    </xf>
    <xf numFmtId="0" fontId="19" fillId="0" borderId="10" xfId="12" applyFont="1" applyBorder="1" applyAlignment="1" applyProtection="1">
      <alignment horizontal="center" vertical="center"/>
      <protection locked="0"/>
    </xf>
    <xf numFmtId="0" fontId="16" fillId="0" borderId="10" xfId="12" applyFont="1" applyBorder="1" applyAlignment="1" applyProtection="1">
      <alignment horizontal="center" vertical="center"/>
      <protection locked="0"/>
    </xf>
    <xf numFmtId="0" fontId="15" fillId="4" borderId="10" xfId="12" applyFont="1" applyFill="1" applyBorder="1" applyAlignment="1">
      <alignment horizontal="center" vertical="center"/>
    </xf>
    <xf numFmtId="0" fontId="16" fillId="0" borderId="10" xfId="12" applyFont="1" applyBorder="1" applyAlignment="1" applyProtection="1">
      <alignment vertical="center"/>
      <protection locked="0"/>
    </xf>
    <xf numFmtId="0" fontId="17"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18" fillId="0" borderId="10" xfId="12" applyFont="1" applyBorder="1" applyAlignment="1" applyProtection="1">
      <alignment horizontal="center" vertical="center"/>
      <protection locked="0"/>
    </xf>
    <xf numFmtId="0" fontId="18" fillId="0" borderId="10" xfId="12" applyFont="1" applyBorder="1" applyAlignment="1" applyProtection="1">
      <alignment vertical="center"/>
      <protection locked="0"/>
    </xf>
    <xf numFmtId="0" fontId="19" fillId="0" borderId="41" xfId="12" applyFont="1" applyBorder="1" applyAlignment="1" applyProtection="1">
      <alignment horizontal="center" vertical="center"/>
      <protection locked="0"/>
    </xf>
    <xf numFmtId="4" fontId="14" fillId="4" borderId="0" xfId="12" applyNumberFormat="1" applyFont="1" applyFill="1"/>
    <xf numFmtId="10" fontId="17" fillId="0" borderId="0" xfId="12" applyNumberFormat="1" applyFont="1"/>
    <xf numFmtId="10" fontId="14" fillId="0" borderId="0" xfId="12" applyNumberFormat="1" applyFont="1" applyFill="1" applyBorder="1"/>
    <xf numFmtId="4" fontId="15" fillId="0" borderId="0" xfId="15" applyNumberFormat="1" applyFont="1" applyBorder="1"/>
    <xf numFmtId="4" fontId="53" fillId="0" borderId="0" xfId="15" applyNumberFormat="1" applyFont="1" applyBorder="1" applyAlignment="1">
      <alignment horizontal="center"/>
    </xf>
    <xf numFmtId="4" fontId="15" fillId="0" borderId="0" xfId="17" applyNumberFormat="1">
      <alignment vertical="center"/>
    </xf>
    <xf numFmtId="4" fontId="15" fillId="0" borderId="0" xfId="15" applyNumberFormat="1" applyFont="1" applyFill="1" applyBorder="1"/>
    <xf numFmtId="4" fontId="13" fillId="0" borderId="0" xfId="15" applyNumberFormat="1" applyFont="1" applyBorder="1"/>
    <xf numFmtId="49" fontId="15" fillId="0" borderId="43" xfId="25" applyNumberFormat="1" applyFont="1" applyBorder="1" applyAlignment="1">
      <alignment horizontal="left" vertical="center"/>
    </xf>
    <xf numFmtId="4" fontId="15" fillId="0" borderId="0" xfId="15" applyNumberFormat="1" applyFont="1" applyBorder="1" applyAlignment="1">
      <alignment horizontal="center"/>
    </xf>
    <xf numFmtId="4" fontId="13" fillId="0" borderId="0" xfId="15" applyNumberFormat="1" applyFont="1" applyFill="1" applyBorder="1"/>
    <xf numFmtId="4" fontId="15" fillId="0" borderId="25" xfId="15" applyNumberFormat="1" applyFont="1" applyFill="1" applyBorder="1"/>
    <xf numFmtId="4" fontId="53" fillId="0" borderId="0" xfId="15" applyNumberFormat="1" applyFont="1" applyFill="1" applyAlignment="1">
      <alignment horizontal="center"/>
    </xf>
    <xf numFmtId="4" fontId="15" fillId="0" borderId="46" xfId="15" applyNumberFormat="1" applyFont="1" applyFill="1" applyBorder="1" applyAlignment="1">
      <alignment horizontal="center"/>
    </xf>
    <xf numFmtId="4" fontId="13" fillId="0" borderId="0" xfId="15" applyNumberFormat="1" applyFont="1" applyFill="1" applyBorder="1" applyAlignment="1">
      <alignment horizontal="center"/>
    </xf>
    <xf numFmtId="4" fontId="15" fillId="0" borderId="0" xfId="15" applyNumberFormat="1" applyFont="1" applyFill="1"/>
    <xf numFmtId="4" fontId="15" fillId="0" borderId="43" xfId="15" applyNumberFormat="1" applyFont="1" applyFill="1" applyBorder="1" applyAlignment="1">
      <alignment horizontal="center"/>
    </xf>
    <xf numFmtId="4" fontId="15" fillId="0" borderId="26" xfId="15" applyNumberFormat="1" applyFont="1" applyFill="1" applyBorder="1" applyAlignment="1">
      <alignment horizontal="center"/>
    </xf>
    <xf numFmtId="4" fontId="15" fillId="0" borderId="4" xfId="15" applyNumberFormat="1" applyFont="1" applyFill="1" applyBorder="1"/>
    <xf numFmtId="4" fontId="13" fillId="0" borderId="5" xfId="15" applyNumberFormat="1" applyFont="1" applyFill="1" applyBorder="1" applyAlignment="1">
      <alignment horizontal="center"/>
    </xf>
    <xf numFmtId="3" fontId="72" fillId="0" borderId="5" xfId="15" applyNumberFormat="1" applyFont="1" applyFill="1" applyBorder="1" applyAlignment="1">
      <alignment horizontal="center"/>
    </xf>
    <xf numFmtId="3" fontId="72" fillId="0" borderId="6" xfId="15" applyNumberFormat="1" applyFont="1" applyFill="1" applyBorder="1" applyAlignment="1">
      <alignment horizontal="center"/>
    </xf>
    <xf numFmtId="4" fontId="54" fillId="0" borderId="0" xfId="15" applyNumberFormat="1" applyFont="1" applyFill="1" applyBorder="1" applyAlignment="1">
      <alignment horizontal="center"/>
    </xf>
    <xf numFmtId="4" fontId="15" fillId="0" borderId="0" xfId="7" applyNumberFormat="1" applyFont="1" applyBorder="1" applyAlignment="1">
      <alignment horizontal="center"/>
    </xf>
    <xf numFmtId="4" fontId="15" fillId="0" borderId="5" xfId="15" applyNumberFormat="1" applyFont="1" applyFill="1" applyBorder="1"/>
    <xf numFmtId="4" fontId="15" fillId="0" borderId="6" xfId="15" applyNumberFormat="1" applyFont="1" applyFill="1" applyBorder="1"/>
    <xf numFmtId="4" fontId="52" fillId="0" borderId="0" xfId="15" applyNumberFormat="1" applyFont="1"/>
    <xf numFmtId="10" fontId="0" fillId="0" borderId="0" xfId="28" applyNumberFormat="1" applyFont="1">
      <alignment vertical="center"/>
    </xf>
    <xf numFmtId="10" fontId="67" fillId="0" borderId="0" xfId="28" applyNumberFormat="1" applyFont="1">
      <alignment vertical="center"/>
    </xf>
    <xf numFmtId="4" fontId="70" fillId="0" borderId="4" xfId="15" applyNumberFormat="1" applyFont="1" applyFill="1" applyBorder="1" applyAlignment="1">
      <alignment horizontal="center"/>
    </xf>
    <xf numFmtId="49" fontId="73" fillId="0" borderId="4" xfId="12" applyNumberFormat="1" applyFont="1" applyBorder="1" applyAlignment="1">
      <alignment horizontal="left"/>
    </xf>
    <xf numFmtId="4" fontId="15" fillId="0" borderId="5" xfId="17" applyNumberFormat="1" applyBorder="1">
      <alignment vertical="center"/>
    </xf>
    <xf numFmtId="4" fontId="15" fillId="0" borderId="4" xfId="15" applyNumberFormat="1" applyFont="1" applyFill="1" applyBorder="1" applyAlignment="1">
      <alignment horizontal="left"/>
    </xf>
    <xf numFmtId="4" fontId="74" fillId="0" borderId="4" xfId="15" applyNumberFormat="1" applyFont="1" applyFill="1" applyBorder="1"/>
    <xf numFmtId="4" fontId="15" fillId="0" borderId="0" xfId="7" applyNumberFormat="1" applyFont="1" applyFill="1" applyBorder="1" applyAlignment="1"/>
    <xf numFmtId="4" fontId="15" fillId="0" borderId="11" xfId="15" applyNumberFormat="1" applyFont="1" applyFill="1" applyBorder="1"/>
    <xf numFmtId="4" fontId="15" fillId="0" borderId="43" xfId="15" applyNumberFormat="1" applyFont="1" applyFill="1" applyBorder="1"/>
    <xf numFmtId="4" fontId="15" fillId="0" borderId="13" xfId="15" applyNumberFormat="1" applyFont="1" applyFill="1" applyBorder="1"/>
    <xf numFmtId="4" fontId="15" fillId="0" borderId="13" xfId="7" applyNumberFormat="1" applyFont="1" applyFill="1" applyBorder="1" applyAlignment="1"/>
    <xf numFmtId="4" fontId="15" fillId="0" borderId="43" xfId="15" applyNumberFormat="1" applyFont="1" applyBorder="1"/>
    <xf numFmtId="4" fontId="15" fillId="0" borderId="11" xfId="15" applyNumberFormat="1" applyFont="1" applyBorder="1"/>
    <xf numFmtId="4" fontId="13" fillId="0" borderId="13" xfId="7" applyNumberFormat="1" applyFont="1" applyFill="1" applyBorder="1" applyAlignment="1"/>
    <xf numFmtId="4" fontId="15" fillId="0" borderId="5" xfId="15" applyNumberFormat="1" applyFont="1" applyFill="1" applyBorder="1" applyAlignment="1">
      <alignment horizontal="center"/>
    </xf>
    <xf numFmtId="4" fontId="15" fillId="0" borderId="0" xfId="17" applyNumberFormat="1" applyAlignment="1">
      <alignment horizontal="center" vertical="center"/>
    </xf>
    <xf numFmtId="49" fontId="15" fillId="0" borderId="49" xfId="26" applyNumberFormat="1" applyFont="1" applyBorder="1" applyAlignment="1">
      <alignment horizontal="left" vertical="center"/>
    </xf>
    <xf numFmtId="49" fontId="15" fillId="0" borderId="21" xfId="26" applyNumberFormat="1" applyFont="1" applyBorder="1" applyAlignment="1">
      <alignment horizontal="left" vertical="center"/>
    </xf>
    <xf numFmtId="14" fontId="13" fillId="0" borderId="0" xfId="24" applyNumberFormat="1" applyFont="1" applyFill="1" applyBorder="1" applyAlignment="1">
      <alignment horizontal="left" vertical="top"/>
    </xf>
    <xf numFmtId="0" fontId="15" fillId="0" borderId="0" xfId="25" applyFont="1" applyBorder="1" applyAlignment="1">
      <alignment horizontal="center" vertical="center"/>
    </xf>
    <xf numFmtId="4" fontId="15" fillId="0" borderId="0" xfId="25" applyNumberFormat="1" applyFont="1" applyBorder="1">
      <alignment vertical="center"/>
    </xf>
    <xf numFmtId="0" fontId="15" fillId="0" borderId="0" xfId="17" applyBorder="1">
      <alignment vertical="center"/>
    </xf>
    <xf numFmtId="49" fontId="15" fillId="0" borderId="50" xfId="26" applyNumberFormat="1" applyFont="1" applyBorder="1" applyAlignment="1">
      <alignment horizontal="left" vertical="center"/>
    </xf>
    <xf numFmtId="171" fontId="13" fillId="0" borderId="51" xfId="26" applyNumberFormat="1" applyFont="1" applyFill="1" applyBorder="1" applyAlignment="1">
      <alignment horizontal="left" vertical="center"/>
    </xf>
    <xf numFmtId="0" fontId="15" fillId="0" borderId="51" xfId="25" applyFont="1" applyBorder="1" applyAlignment="1">
      <alignment horizontal="center" vertical="center"/>
    </xf>
    <xf numFmtId="4" fontId="15" fillId="0" borderId="51" xfId="25" applyNumberFormat="1" applyFont="1" applyBorder="1">
      <alignment vertical="center"/>
    </xf>
    <xf numFmtId="0" fontId="15" fillId="0" borderId="51" xfId="17" applyBorder="1">
      <alignment vertical="center"/>
    </xf>
    <xf numFmtId="4" fontId="70" fillId="0" borderId="1" xfId="15" applyNumberFormat="1" applyFont="1" applyFill="1" applyBorder="1" applyAlignment="1">
      <alignment horizontal="right"/>
    </xf>
    <xf numFmtId="4" fontId="70" fillId="0" borderId="2" xfId="15" applyNumberFormat="1" applyFont="1" applyFill="1" applyBorder="1" applyAlignment="1">
      <alignment horizontal="right"/>
    </xf>
    <xf numFmtId="4" fontId="13" fillId="0" borderId="2" xfId="15" applyNumberFormat="1" applyFont="1" applyFill="1" applyBorder="1" applyAlignment="1">
      <alignment horizontal="center"/>
    </xf>
    <xf numFmtId="4" fontId="13" fillId="0" borderId="3" xfId="15" applyNumberFormat="1" applyFont="1" applyFill="1" applyBorder="1" applyAlignment="1">
      <alignment horizontal="center"/>
    </xf>
    <xf numFmtId="3" fontId="13" fillId="4" borderId="5" xfId="15" applyNumberFormat="1" applyFont="1" applyFill="1" applyBorder="1" applyAlignment="1">
      <alignment horizontal="center"/>
    </xf>
    <xf numFmtId="4" fontId="15" fillId="0" borderId="5" xfId="7" applyNumberFormat="1" applyFont="1" applyFill="1" applyBorder="1" applyAlignment="1"/>
    <xf numFmtId="2" fontId="12" fillId="3" borderId="11" xfId="15" applyNumberFormat="1" applyFont="1" applyFill="1" applyBorder="1" applyAlignment="1">
      <alignment horizontal="center"/>
    </xf>
    <xf numFmtId="4" fontId="70" fillId="0" borderId="5" xfId="15" applyNumberFormat="1" applyFont="1" applyFill="1" applyBorder="1" applyAlignment="1">
      <alignment horizontal="center"/>
    </xf>
    <xf numFmtId="49" fontId="68" fillId="0" borderId="5" xfId="12" applyNumberFormat="1" applyFont="1" applyBorder="1" applyAlignment="1">
      <alignment horizontal="left"/>
    </xf>
    <xf numFmtId="4" fontId="15" fillId="0" borderId="7" xfId="15" applyNumberFormat="1" applyFont="1" applyFill="1" applyBorder="1"/>
    <xf numFmtId="4" fontId="15" fillId="0" borderId="8" xfId="15" applyNumberFormat="1" applyFont="1" applyFill="1" applyBorder="1"/>
    <xf numFmtId="4" fontId="53" fillId="0" borderId="0" xfId="15" applyNumberFormat="1" applyFont="1" applyFill="1" applyBorder="1" applyAlignment="1">
      <alignment horizontal="center"/>
    </xf>
    <xf numFmtId="4" fontId="13" fillId="0" borderId="46" xfId="15" applyNumberFormat="1" applyFont="1" applyFill="1" applyBorder="1"/>
    <xf numFmtId="4" fontId="13" fillId="0" borderId="54" xfId="15" applyNumberFormat="1" applyFont="1" applyFill="1" applyBorder="1"/>
    <xf numFmtId="4" fontId="13" fillId="0" borderId="10" xfId="15" applyNumberFormat="1" applyFont="1" applyFill="1" applyBorder="1"/>
    <xf numFmtId="49" fontId="21" fillId="6" borderId="1" xfId="0" applyNumberFormat="1" applyFont="1" applyFill="1" applyBorder="1" applyAlignment="1">
      <alignment horizontal="right"/>
    </xf>
    <xf numFmtId="2" fontId="21" fillId="6" borderId="2" xfId="0" applyNumberFormat="1" applyFont="1" applyFill="1" applyBorder="1" applyAlignment="1">
      <alignment horizontal="center"/>
    </xf>
    <xf numFmtId="2" fontId="14" fillId="6" borderId="2" xfId="0" applyNumberFormat="1" applyFont="1" applyFill="1" applyBorder="1" applyAlignment="1">
      <alignment horizontal="center"/>
    </xf>
    <xf numFmtId="4" fontId="21" fillId="6" borderId="2" xfId="0" applyNumberFormat="1" applyFont="1" applyFill="1" applyBorder="1" applyAlignment="1">
      <alignment horizontal="center"/>
    </xf>
    <xf numFmtId="2" fontId="21" fillId="6" borderId="3" xfId="0" applyNumberFormat="1" applyFont="1" applyFill="1" applyBorder="1" applyAlignment="1">
      <alignment horizontal="center"/>
    </xf>
    <xf numFmtId="49" fontId="21" fillId="6" borderId="7" xfId="0" applyNumberFormat="1" applyFont="1" applyFill="1" applyBorder="1" applyAlignment="1">
      <alignment horizontal="right"/>
    </xf>
    <xf numFmtId="2" fontId="21" fillId="6" borderId="8" xfId="0" applyNumberFormat="1" applyFont="1" applyFill="1" applyBorder="1" applyAlignment="1">
      <alignment horizontal="center"/>
    </xf>
    <xf numFmtId="2" fontId="14" fillId="6" borderId="8" xfId="0" applyNumberFormat="1" applyFont="1" applyFill="1" applyBorder="1" applyAlignment="1">
      <alignment horizontal="center"/>
    </xf>
    <xf numFmtId="4" fontId="21" fillId="6" borderId="8" xfId="0" applyNumberFormat="1" applyFont="1" applyFill="1" applyBorder="1" applyAlignment="1">
      <alignment horizontal="center"/>
    </xf>
    <xf numFmtId="2" fontId="21" fillId="6" borderId="35" xfId="0" applyNumberFormat="1" applyFont="1" applyFill="1" applyBorder="1" applyAlignment="1">
      <alignment horizontal="center"/>
    </xf>
    <xf numFmtId="2" fontId="14" fillId="0" borderId="13" xfId="0" applyNumberFormat="1" applyFont="1" applyFill="1" applyBorder="1" applyAlignment="1">
      <alignment horizontal="center"/>
    </xf>
    <xf numFmtId="2" fontId="21" fillId="0" borderId="13" xfId="0" applyNumberFormat="1" applyFont="1" applyFill="1" applyBorder="1" applyAlignment="1">
      <alignment horizontal="center"/>
    </xf>
    <xf numFmtId="4" fontId="21" fillId="0" borderId="13" xfId="0" applyNumberFormat="1" applyFont="1" applyFill="1" applyBorder="1" applyAlignment="1">
      <alignment horizontal="center"/>
    </xf>
    <xf numFmtId="2" fontId="21" fillId="0" borderId="48" xfId="0" applyNumberFormat="1" applyFont="1" applyFill="1" applyBorder="1" applyAlignment="1">
      <alignment horizontal="center"/>
    </xf>
    <xf numFmtId="49" fontId="14" fillId="0" borderId="4" xfId="0" applyNumberFormat="1" applyFont="1" applyFill="1" applyBorder="1" applyAlignment="1">
      <alignment horizontal="right"/>
    </xf>
    <xf numFmtId="2" fontId="14" fillId="0" borderId="5" xfId="0" applyNumberFormat="1" applyFont="1" applyFill="1" applyBorder="1" applyAlignment="1">
      <alignment horizontal="left"/>
    </xf>
    <xf numFmtId="2" fontId="14" fillId="0" borderId="5" xfId="0" applyNumberFormat="1" applyFont="1" applyFill="1" applyBorder="1" applyAlignment="1">
      <alignment horizontal="center"/>
    </xf>
    <xf numFmtId="2" fontId="14" fillId="0" borderId="5" xfId="0" applyNumberFormat="1" applyFont="1" applyFill="1" applyBorder="1" applyAlignment="1">
      <alignment horizontal="right"/>
    </xf>
    <xf numFmtId="2" fontId="21" fillId="0" borderId="6" xfId="0" applyNumberFormat="1" applyFont="1" applyFill="1" applyBorder="1" applyAlignment="1">
      <alignment horizontal="right"/>
    </xf>
    <xf numFmtId="49" fontId="21" fillId="0" borderId="4" xfId="0" applyNumberFormat="1" applyFont="1" applyFill="1" applyBorder="1" applyAlignment="1">
      <alignment horizontal="right"/>
    </xf>
    <xf numFmtId="2" fontId="21" fillId="0" borderId="5" xfId="0" applyNumberFormat="1" applyFont="1" applyFill="1" applyBorder="1" applyAlignment="1">
      <alignment horizontal="center"/>
    </xf>
    <xf numFmtId="4" fontId="21" fillId="0" borderId="5" xfId="0" applyNumberFormat="1" applyFont="1" applyFill="1" applyBorder="1" applyAlignment="1">
      <alignment horizontal="center"/>
    </xf>
    <xf numFmtId="0" fontId="21" fillId="0" borderId="5" xfId="0" applyFont="1" applyFill="1" applyBorder="1" applyAlignment="1"/>
    <xf numFmtId="4" fontId="14" fillId="0" borderId="5" xfId="0" applyNumberFormat="1" applyFont="1" applyFill="1" applyBorder="1" applyAlignment="1">
      <alignment horizontal="right"/>
    </xf>
    <xf numFmtId="172" fontId="14" fillId="0" borderId="5" xfId="0" applyNumberFormat="1" applyFont="1" applyFill="1" applyBorder="1" applyAlignment="1">
      <alignment horizontal="center"/>
    </xf>
    <xf numFmtId="4" fontId="21" fillId="0" borderId="6" xfId="0" applyNumberFormat="1" applyFont="1" applyFill="1" applyBorder="1" applyAlignment="1">
      <alignment horizontal="right"/>
    </xf>
    <xf numFmtId="0" fontId="14" fillId="0" borderId="5" xfId="0" applyFont="1" applyFill="1" applyBorder="1" applyAlignment="1"/>
    <xf numFmtId="0" fontId="14" fillId="0" borderId="5" xfId="0" applyFont="1" applyFill="1" applyBorder="1" applyAlignment="1">
      <alignment horizontal="center"/>
    </xf>
    <xf numFmtId="4" fontId="14" fillId="0" borderId="5" xfId="0" applyNumberFormat="1" applyFont="1" applyFill="1" applyBorder="1"/>
    <xf numFmtId="4" fontId="14" fillId="4" borderId="5" xfId="0" applyNumberFormat="1" applyFont="1" applyFill="1" applyBorder="1" applyAlignment="1">
      <alignment horizontal="right"/>
    </xf>
    <xf numFmtId="4" fontId="14" fillId="4" borderId="5" xfId="0" applyNumberFormat="1" applyFont="1" applyFill="1" applyBorder="1"/>
    <xf numFmtId="4" fontId="14" fillId="0" borderId="5" xfId="0" applyNumberFormat="1" applyFont="1" applyFill="1" applyBorder="1" applyAlignment="1">
      <alignment horizontal="left"/>
    </xf>
    <xf numFmtId="49" fontId="76" fillId="0" borderId="4" xfId="0" applyNumberFormat="1" applyFont="1" applyFill="1" applyBorder="1" applyAlignment="1">
      <alignment horizontal="right"/>
    </xf>
    <xf numFmtId="0" fontId="41" fillId="0" borderId="4" xfId="12" applyFont="1" applyFill="1" applyBorder="1" applyAlignment="1">
      <alignment horizontal="center" vertical="center"/>
    </xf>
    <xf numFmtId="0" fontId="14" fillId="0" borderId="0" xfId="14"/>
    <xf numFmtId="2" fontId="14" fillId="0" borderId="0" xfId="14" applyNumberFormat="1"/>
    <xf numFmtId="10" fontId="14" fillId="0" borderId="0" xfId="14" applyNumberFormat="1"/>
    <xf numFmtId="0" fontId="15" fillId="0" borderId="0" xfId="14" applyFont="1"/>
    <xf numFmtId="0" fontId="14" fillId="0" borderId="0" xfId="19"/>
    <xf numFmtId="0" fontId="13" fillId="0" borderId="0" xfId="12" applyFont="1" applyAlignment="1">
      <alignment horizontal="center"/>
    </xf>
    <xf numFmtId="14" fontId="15" fillId="0" borderId="0" xfId="12" applyNumberFormat="1" applyFont="1" applyAlignment="1">
      <alignment horizontal="right"/>
    </xf>
    <xf numFmtId="2" fontId="12" fillId="0" borderId="0" xfId="23" applyNumberFormat="1" applyFont="1" applyFill="1" applyBorder="1" applyAlignment="1">
      <alignment horizontal="center"/>
    </xf>
    <xf numFmtId="2" fontId="12" fillId="5" borderId="2" xfId="23" applyNumberFormat="1" applyFont="1" applyFill="1" applyBorder="1" applyAlignment="1">
      <alignment horizontal="center"/>
    </xf>
    <xf numFmtId="4" fontId="14" fillId="0" borderId="5" xfId="0" applyNumberFormat="1" applyFont="1" applyFill="1" applyBorder="1" applyAlignment="1">
      <alignment horizontal="center"/>
    </xf>
    <xf numFmtId="10" fontId="17" fillId="0" borderId="3" xfId="12" applyNumberFormat="1" applyFont="1" applyBorder="1"/>
    <xf numFmtId="10" fontId="17" fillId="0" borderId="6" xfId="12" applyNumberFormat="1" applyFont="1" applyBorder="1"/>
    <xf numFmtId="4" fontId="19" fillId="0" borderId="5" xfId="12" applyNumberFormat="1" applyFont="1" applyBorder="1" applyAlignment="1" applyProtection="1">
      <alignment vertical="center"/>
      <protection locked="0"/>
    </xf>
    <xf numFmtId="0" fontId="13" fillId="4" borderId="1" xfId="12" applyFont="1" applyFill="1" applyBorder="1" applyAlignment="1">
      <alignment horizontal="center" vertical="center"/>
    </xf>
    <xf numFmtId="0" fontId="13" fillId="4" borderId="3" xfId="12" applyFont="1" applyFill="1" applyBorder="1" applyAlignment="1">
      <alignment horizontal="center" vertical="center"/>
    </xf>
    <xf numFmtId="4" fontId="0" fillId="0" borderId="5" xfId="0" applyNumberFormat="1" applyBorder="1"/>
    <xf numFmtId="4" fontId="68" fillId="0" borderId="5" xfId="0" applyNumberFormat="1" applyFont="1" applyBorder="1"/>
    <xf numFmtId="49" fontId="15" fillId="4" borderId="31" xfId="0" applyNumberFormat="1" applyFont="1" applyFill="1" applyBorder="1"/>
    <xf numFmtId="4" fontId="19" fillId="4" borderId="9" xfId="12" applyNumberFormat="1" applyFont="1" applyFill="1" applyBorder="1" applyAlignment="1" applyProtection="1">
      <alignment vertical="center"/>
      <protection locked="0"/>
    </xf>
    <xf numFmtId="10" fontId="17" fillId="4" borderId="6" xfId="12" applyNumberFormat="1" applyFont="1" applyFill="1" applyBorder="1"/>
    <xf numFmtId="4" fontId="17" fillId="4" borderId="4" xfId="12" applyNumberFormat="1" applyFont="1" applyFill="1" applyBorder="1"/>
    <xf numFmtId="4" fontId="19" fillId="4" borderId="5" xfId="12" applyNumberFormat="1" applyFont="1" applyFill="1" applyBorder="1" applyAlignment="1" applyProtection="1">
      <alignment vertical="center"/>
      <protection locked="0"/>
    </xf>
    <xf numFmtId="49" fontId="15" fillId="4" borderId="31" xfId="0" applyNumberFormat="1" applyFont="1" applyFill="1" applyBorder="1" applyAlignment="1">
      <alignment horizontal="left"/>
    </xf>
    <xf numFmtId="49" fontId="15" fillId="4" borderId="31" xfId="0" applyNumberFormat="1" applyFont="1" applyFill="1" applyBorder="1" applyAlignment="1"/>
    <xf numFmtId="10" fontId="14" fillId="0" borderId="0" xfId="12" applyNumberFormat="1" applyFont="1" applyBorder="1"/>
    <xf numFmtId="4" fontId="21" fillId="0" borderId="6" xfId="12" applyNumberFormat="1" applyFont="1" applyBorder="1"/>
    <xf numFmtId="4" fontId="21" fillId="0" borderId="0" xfId="12" applyNumberFormat="1" applyFont="1" applyFill="1" applyBorder="1"/>
    <xf numFmtId="4" fontId="21" fillId="0" borderId="0" xfId="12" applyNumberFormat="1" applyFont="1" applyFill="1" applyBorder="1" applyAlignment="1">
      <alignment horizontal="right"/>
    </xf>
    <xf numFmtId="4" fontId="21" fillId="0" borderId="0" xfId="12" applyNumberFormat="1" applyFont="1" applyBorder="1" applyAlignment="1">
      <alignment horizontal="right"/>
    </xf>
    <xf numFmtId="0" fontId="11" fillId="0" borderId="0" xfId="37" applyFont="1"/>
    <xf numFmtId="0" fontId="11" fillId="0" borderId="0" xfId="37" applyFont="1" applyFill="1"/>
    <xf numFmtId="0" fontId="11" fillId="0" borderId="21" xfId="37" applyFont="1" applyFill="1" applyBorder="1"/>
    <xf numFmtId="0" fontId="11" fillId="0" borderId="0" xfId="37" applyFont="1" applyFill="1" applyBorder="1"/>
    <xf numFmtId="0" fontId="12" fillId="0" borderId="0" xfId="37" applyFont="1" applyFill="1" applyBorder="1"/>
    <xf numFmtId="0" fontId="25" fillId="0" borderId="0" xfId="37" applyFont="1" applyFill="1" applyBorder="1"/>
    <xf numFmtId="0" fontId="11" fillId="0" borderId="22" xfId="37" applyFont="1" applyFill="1" applyBorder="1"/>
    <xf numFmtId="0" fontId="21" fillId="0" borderId="23" xfId="37" quotePrefix="1" applyFont="1" applyBorder="1" applyAlignment="1" applyProtection="1">
      <alignment vertical="center"/>
      <protection locked="0"/>
    </xf>
    <xf numFmtId="0" fontId="21" fillId="0" borderId="23" xfId="37" applyFont="1" applyBorder="1" applyAlignment="1" applyProtection="1">
      <alignment vertical="center"/>
      <protection locked="0"/>
    </xf>
    <xf numFmtId="0" fontId="21" fillId="0" borderId="23" xfId="37" applyFont="1" applyFill="1" applyBorder="1" applyAlignment="1">
      <alignment horizontal="center"/>
    </xf>
    <xf numFmtId="2" fontId="14" fillId="0" borderId="23" xfId="37" applyNumberFormat="1" applyFont="1" applyFill="1" applyBorder="1"/>
    <xf numFmtId="0" fontId="21" fillId="0" borderId="23" xfId="37" applyFont="1" applyFill="1" applyBorder="1" applyAlignment="1">
      <alignment horizontal="right"/>
    </xf>
    <xf numFmtId="0" fontId="14" fillId="0" borderId="23" xfId="37" applyFont="1" applyBorder="1"/>
    <xf numFmtId="0" fontId="31" fillId="0" borderId="0" xfId="37" applyFont="1" applyFill="1" applyBorder="1"/>
    <xf numFmtId="0" fontId="64" fillId="0" borderId="0" xfId="37" applyFont="1"/>
    <xf numFmtId="0" fontId="15" fillId="0" borderId="0" xfId="37" applyFont="1" applyFill="1" applyBorder="1"/>
    <xf numFmtId="0" fontId="15" fillId="0" borderId="0" xfId="37" applyFont="1" applyFill="1" applyBorder="1" applyAlignment="1">
      <alignment horizontal="center"/>
    </xf>
    <xf numFmtId="0" fontId="32" fillId="0" borderId="0" xfId="37" applyFont="1" applyFill="1" applyBorder="1"/>
    <xf numFmtId="0" fontId="33" fillId="0" borderId="0" xfId="37" applyFont="1" applyFill="1" applyBorder="1" applyAlignment="1">
      <alignment horizontal="center"/>
    </xf>
    <xf numFmtId="0" fontId="21" fillId="0" borderId="24" xfId="37" applyFont="1" applyBorder="1" applyAlignment="1" applyProtection="1">
      <alignment vertical="center"/>
      <protection locked="0"/>
    </xf>
    <xf numFmtId="4" fontId="14" fillId="0" borderId="24" xfId="37" applyNumberFormat="1" applyFont="1" applyBorder="1" applyAlignment="1" applyProtection="1">
      <alignment vertical="center"/>
      <protection locked="0"/>
    </xf>
    <xf numFmtId="0" fontId="21" fillId="0" borderId="24" xfId="37" applyFont="1" applyFill="1" applyBorder="1"/>
    <xf numFmtId="0" fontId="14" fillId="0" borderId="24" xfId="37" applyFont="1" applyFill="1" applyBorder="1"/>
    <xf numFmtId="2" fontId="14" fillId="0" borderId="24" xfId="37" applyNumberFormat="1" applyFont="1" applyFill="1" applyBorder="1"/>
    <xf numFmtId="0" fontId="14" fillId="0" borderId="24" xfId="37" applyFont="1" applyBorder="1"/>
    <xf numFmtId="0" fontId="21" fillId="0" borderId="24" xfId="37" applyFont="1" applyFill="1" applyBorder="1" applyAlignment="1">
      <alignment horizontal="left"/>
    </xf>
    <xf numFmtId="4" fontId="14" fillId="0" borderId="0" xfId="37" applyNumberFormat="1" applyFont="1" applyBorder="1" applyAlignment="1" applyProtection="1">
      <alignment vertical="center"/>
      <protection locked="0"/>
    </xf>
    <xf numFmtId="0" fontId="21" fillId="0" borderId="0" xfId="37" applyFont="1" applyFill="1" applyBorder="1"/>
    <xf numFmtId="0" fontId="14" fillId="0" borderId="0" xfId="37" applyFont="1" applyFill="1" applyBorder="1"/>
    <xf numFmtId="2" fontId="14" fillId="0" borderId="0" xfId="37" applyNumberFormat="1" applyFont="1" applyFill="1" applyBorder="1"/>
    <xf numFmtId="0" fontId="14" fillId="0" borderId="0" xfId="37" applyFont="1" applyBorder="1"/>
    <xf numFmtId="0" fontId="14" fillId="0" borderId="24" xfId="37" applyFont="1" applyBorder="1" applyAlignment="1" applyProtection="1">
      <alignment vertical="center"/>
      <protection locked="0"/>
    </xf>
    <xf numFmtId="2" fontId="39" fillId="0" borderId="24" xfId="37" applyNumberFormat="1" applyFont="1" applyFill="1" applyBorder="1"/>
    <xf numFmtId="0" fontId="14" fillId="0" borderId="24" xfId="37" applyFont="1" applyBorder="1" applyAlignment="1" applyProtection="1">
      <alignment horizontal="left" vertical="center"/>
      <protection locked="0"/>
    </xf>
    <xf numFmtId="0" fontId="21" fillId="0" borderId="33" xfId="37" quotePrefix="1" applyFont="1" applyBorder="1" applyAlignment="1" applyProtection="1">
      <alignment vertical="center"/>
      <protection locked="0"/>
    </xf>
    <xf numFmtId="0" fontId="64" fillId="0" borderId="0" xfId="37" applyFont="1" applyBorder="1"/>
    <xf numFmtId="0" fontId="21" fillId="0" borderId="34" xfId="37" quotePrefix="1" applyFont="1" applyBorder="1" applyAlignment="1" applyProtection="1">
      <alignment vertical="center"/>
      <protection locked="0"/>
    </xf>
    <xf numFmtId="0" fontId="21" fillId="0" borderId="32" xfId="37" applyFont="1" applyBorder="1" applyAlignment="1" applyProtection="1">
      <alignment vertical="center"/>
      <protection locked="0"/>
    </xf>
    <xf numFmtId="0" fontId="21" fillId="0" borderId="6" xfId="37" quotePrefix="1" applyFont="1" applyBorder="1" applyAlignment="1" applyProtection="1">
      <alignment vertical="center"/>
      <protection locked="0"/>
    </xf>
    <xf numFmtId="0" fontId="21" fillId="0" borderId="24" xfId="37" applyFont="1" applyFill="1" applyBorder="1" applyAlignment="1">
      <alignment horizontal="center"/>
    </xf>
    <xf numFmtId="0" fontId="14" fillId="0" borderId="32" xfId="37" applyFont="1" applyBorder="1" applyAlignment="1" applyProtection="1">
      <alignment vertical="center"/>
      <protection locked="0"/>
    </xf>
    <xf numFmtId="2" fontId="21" fillId="0" borderId="24" xfId="37" applyNumberFormat="1" applyFont="1" applyFill="1" applyBorder="1"/>
    <xf numFmtId="0" fontId="21" fillId="0" borderId="31" xfId="37" quotePrefix="1" applyFont="1" applyBorder="1" applyAlignment="1" applyProtection="1">
      <alignment vertical="center"/>
      <protection locked="0"/>
    </xf>
    <xf numFmtId="0" fontId="14" fillId="0" borderId="33" xfId="37" applyFont="1" applyBorder="1" applyAlignment="1" applyProtection="1">
      <alignment vertical="center"/>
      <protection locked="0"/>
    </xf>
    <xf numFmtId="4" fontId="14" fillId="0" borderId="24" xfId="37" applyNumberFormat="1" applyFont="1" applyBorder="1"/>
    <xf numFmtId="0" fontId="17" fillId="0" borderId="0" xfId="37" applyFont="1"/>
    <xf numFmtId="10" fontId="17" fillId="0" borderId="0" xfId="37" applyNumberFormat="1" applyFont="1" applyBorder="1"/>
    <xf numFmtId="4" fontId="17" fillId="0" borderId="0" xfId="37" applyNumberFormat="1" applyFont="1" applyBorder="1"/>
    <xf numFmtId="0" fontId="17" fillId="0" borderId="0" xfId="37" applyFont="1" applyBorder="1"/>
    <xf numFmtId="0" fontId="35" fillId="0" borderId="5" xfId="37" applyFont="1" applyFill="1" applyBorder="1"/>
    <xf numFmtId="0" fontId="36" fillId="0" borderId="5" xfId="37" applyFont="1" applyBorder="1" applyAlignment="1">
      <alignment horizontal="left" vertical="center" shrinkToFit="1"/>
    </xf>
    <xf numFmtId="0" fontId="23" fillId="0" borderId="5" xfId="37" applyFont="1" applyBorder="1" applyAlignment="1">
      <alignment horizontal="center" vertical="center" shrinkToFit="1"/>
    </xf>
    <xf numFmtId="0" fontId="35" fillId="0" borderId="5" xfId="37" applyFont="1" applyBorder="1"/>
    <xf numFmtId="0" fontId="23" fillId="0" borderId="25" xfId="37" applyFont="1" applyBorder="1" applyAlignment="1">
      <alignment horizontal="center" vertical="justify" shrinkToFit="1"/>
    </xf>
    <xf numFmtId="0" fontId="23" fillId="0" borderId="25" xfId="37" applyFont="1" applyBorder="1" applyAlignment="1">
      <alignment horizontal="center"/>
    </xf>
    <xf numFmtId="2" fontId="23" fillId="0" borderId="25" xfId="37" applyNumberFormat="1" applyFont="1" applyBorder="1" applyAlignment="1">
      <alignment horizontal="center" vertical="center" shrinkToFit="1"/>
    </xf>
    <xf numFmtId="2" fontId="13" fillId="0" borderId="26" xfId="37" applyNumberFormat="1" applyFont="1" applyBorder="1" applyAlignment="1">
      <alignment horizontal="center" vertical="center" shrinkToFit="1"/>
    </xf>
    <xf numFmtId="0" fontId="23" fillId="0" borderId="5" xfId="37" applyFont="1" applyBorder="1" applyAlignment="1">
      <alignment horizontal="left" vertical="center" shrinkToFit="1"/>
    </xf>
    <xf numFmtId="0" fontId="13" fillId="0" borderId="26" xfId="37" applyFont="1" applyBorder="1" applyAlignment="1">
      <alignment horizontal="center" vertical="center" shrinkToFit="1"/>
    </xf>
    <xf numFmtId="2" fontId="14" fillId="0" borderId="24" xfId="37" applyNumberFormat="1" applyFont="1" applyBorder="1"/>
    <xf numFmtId="4" fontId="14" fillId="0" borderId="24" xfId="37" applyNumberFormat="1" applyFont="1" applyFill="1" applyBorder="1"/>
    <xf numFmtId="2" fontId="25" fillId="0" borderId="24" xfId="37" applyNumberFormat="1" applyFont="1" applyFill="1" applyBorder="1"/>
    <xf numFmtId="0" fontId="35" fillId="0" borderId="5" xfId="37" applyFont="1" applyBorder="1" applyAlignment="1">
      <alignment horizontal="center" vertical="center"/>
    </xf>
    <xf numFmtId="2" fontId="35" fillId="0" borderId="5" xfId="37" applyNumberFormat="1" applyFont="1" applyFill="1" applyBorder="1" applyAlignment="1">
      <alignment horizontal="center" vertical="center"/>
    </xf>
    <xf numFmtId="0" fontId="14" fillId="0" borderId="24" xfId="37" quotePrefix="1" applyFont="1" applyBorder="1" applyAlignment="1" applyProtection="1">
      <alignment vertical="center"/>
      <protection locked="0"/>
    </xf>
    <xf numFmtId="0" fontId="23" fillId="0" borderId="5" xfId="37" applyFont="1" applyFill="1" applyBorder="1"/>
    <xf numFmtId="2" fontId="23" fillId="0" borderId="5" xfId="37" applyNumberFormat="1" applyFont="1" applyFill="1" applyBorder="1" applyAlignment="1">
      <alignment horizontal="center" vertical="center"/>
    </xf>
    <xf numFmtId="2" fontId="23" fillId="0" borderId="5" xfId="37" applyNumberFormat="1" applyFont="1" applyBorder="1" applyAlignment="1">
      <alignment horizontal="center" vertical="center" shrinkToFit="1"/>
    </xf>
    <xf numFmtId="0" fontId="37" fillId="0" borderId="5" xfId="37" applyFont="1" applyBorder="1"/>
    <xf numFmtId="16" fontId="21" fillId="0" borderId="24" xfId="37" applyNumberFormat="1" applyFont="1" applyBorder="1" applyAlignment="1" applyProtection="1">
      <alignment vertical="center"/>
      <protection locked="0"/>
    </xf>
    <xf numFmtId="2" fontId="34" fillId="0" borderId="24" xfId="37" applyNumberFormat="1" applyFont="1" applyBorder="1"/>
    <xf numFmtId="2" fontId="25" fillId="0" borderId="24" xfId="37" applyNumberFormat="1" applyFont="1" applyBorder="1"/>
    <xf numFmtId="0" fontId="14" fillId="0" borderId="27" xfId="37" quotePrefix="1" applyFont="1" applyBorder="1" applyAlignment="1" applyProtection="1">
      <alignment vertical="center"/>
      <protection locked="0"/>
    </xf>
    <xf numFmtId="0" fontId="14" fillId="0" borderId="27" xfId="37" applyFont="1" applyBorder="1" applyAlignment="1" applyProtection="1">
      <alignment vertical="center"/>
      <protection locked="0"/>
    </xf>
    <xf numFmtId="0" fontId="21" fillId="0" borderId="27" xfId="37" applyFont="1" applyBorder="1" applyAlignment="1" applyProtection="1">
      <alignment vertical="center"/>
      <protection locked="0"/>
    </xf>
    <xf numFmtId="4" fontId="14" fillId="0" borderId="27" xfId="37" applyNumberFormat="1" applyFont="1" applyBorder="1" applyAlignment="1" applyProtection="1">
      <alignment vertical="center"/>
      <protection locked="0"/>
    </xf>
    <xf numFmtId="2" fontId="14" fillId="0" borderId="27" xfId="37" applyNumberFormat="1" applyFont="1" applyBorder="1"/>
    <xf numFmtId="4" fontId="14" fillId="0" borderId="27" xfId="37" applyNumberFormat="1" applyFont="1" applyFill="1" applyBorder="1"/>
    <xf numFmtId="2" fontId="25" fillId="0" borderId="27" xfId="37" applyNumberFormat="1" applyFont="1" applyBorder="1"/>
    <xf numFmtId="0" fontId="12" fillId="0" borderId="0" xfId="37" applyFont="1" applyFill="1"/>
    <xf numFmtId="0" fontId="25" fillId="0" borderId="0" xfId="37" applyFont="1" applyFill="1"/>
    <xf numFmtId="0" fontId="11" fillId="0" borderId="0" xfId="37" applyFont="1" applyBorder="1"/>
    <xf numFmtId="49" fontId="21" fillId="0" borderId="47" xfId="0" applyNumberFormat="1" applyFont="1" applyFill="1" applyBorder="1" applyAlignment="1">
      <alignment horizontal="right"/>
    </xf>
    <xf numFmtId="2" fontId="21" fillId="0" borderId="13" xfId="0" applyNumberFormat="1" applyFont="1" applyFill="1" applyBorder="1" applyAlignment="1">
      <alignment horizontal="left"/>
    </xf>
    <xf numFmtId="2" fontId="21" fillId="0" borderId="5" xfId="0" applyNumberFormat="1" applyFont="1" applyFill="1" applyBorder="1" applyAlignment="1">
      <alignment horizontal="left"/>
    </xf>
    <xf numFmtId="2" fontId="21" fillId="0" borderId="5" xfId="0" applyNumberFormat="1" applyFont="1" applyFill="1" applyBorder="1" applyAlignment="1">
      <alignment horizontal="right"/>
    </xf>
    <xf numFmtId="164" fontId="14" fillId="0" borderId="5" xfId="2" applyFont="1" applyFill="1" applyBorder="1" applyAlignment="1">
      <alignment horizontal="center"/>
    </xf>
    <xf numFmtId="164" fontId="14" fillId="0" borderId="5" xfId="2" applyFont="1" applyFill="1" applyBorder="1" applyAlignment="1">
      <alignment horizontal="right"/>
    </xf>
    <xf numFmtId="164" fontId="14" fillId="0" borderId="5" xfId="2" applyFont="1" applyFill="1" applyBorder="1" applyAlignment="1">
      <alignment horizontal="left"/>
    </xf>
    <xf numFmtId="4" fontId="14" fillId="0" borderId="5" xfId="2" applyNumberFormat="1" applyFont="1" applyFill="1" applyBorder="1" applyAlignment="1">
      <alignment horizontal="right"/>
    </xf>
    <xf numFmtId="4" fontId="14" fillId="4" borderId="5" xfId="2" applyNumberFormat="1" applyFont="1" applyFill="1" applyBorder="1" applyAlignment="1">
      <alignment horizontal="right"/>
    </xf>
    <xf numFmtId="0" fontId="80" fillId="0" borderId="0" xfId="38"/>
    <xf numFmtId="167" fontId="80" fillId="0" borderId="0" xfId="38" applyNumberFormat="1"/>
    <xf numFmtId="167" fontId="81" fillId="0" borderId="0" xfId="38" applyNumberFormat="1" applyFont="1"/>
    <xf numFmtId="167" fontId="82" fillId="0" borderId="0" xfId="38" applyNumberFormat="1" applyFont="1"/>
    <xf numFmtId="4" fontId="80" fillId="0" borderId="0" xfId="38" applyNumberFormat="1"/>
    <xf numFmtId="0" fontId="82" fillId="0" borderId="0" xfId="38" applyFont="1"/>
    <xf numFmtId="0" fontId="83" fillId="0" borderId="0" xfId="38" applyFont="1"/>
    <xf numFmtId="4" fontId="67" fillId="4" borderId="17" xfId="38" applyNumberFormat="1" applyFont="1" applyFill="1" applyBorder="1"/>
    <xf numFmtId="167" fontId="84" fillId="0" borderId="5" xfId="38" applyNumberFormat="1" applyFont="1" applyBorder="1"/>
    <xf numFmtId="10" fontId="84" fillId="0" borderId="5" xfId="38" applyNumberFormat="1" applyFont="1" applyBorder="1" applyAlignment="1">
      <alignment horizontal="center"/>
    </xf>
    <xf numFmtId="0" fontId="84" fillId="0" borderId="4" xfId="38" applyFont="1" applyBorder="1"/>
    <xf numFmtId="167" fontId="85" fillId="0" borderId="5" xfId="38" applyNumberFormat="1" applyFont="1" applyBorder="1"/>
    <xf numFmtId="10" fontId="85" fillId="0" borderId="5" xfId="38" applyNumberFormat="1" applyFont="1" applyBorder="1" applyAlignment="1">
      <alignment horizontal="center"/>
    </xf>
    <xf numFmtId="0" fontId="85" fillId="0" borderId="4" xfId="38" applyFont="1" applyBorder="1"/>
    <xf numFmtId="0" fontId="86" fillId="4" borderId="0" xfId="38" applyFont="1" applyFill="1"/>
    <xf numFmtId="167" fontId="85" fillId="4" borderId="5" xfId="38" applyNumberFormat="1" applyFont="1" applyFill="1" applyBorder="1"/>
    <xf numFmtId="10" fontId="85" fillId="4" borderId="5" xfId="38" applyNumberFormat="1" applyFont="1" applyFill="1" applyBorder="1" applyAlignment="1">
      <alignment horizontal="center"/>
    </xf>
    <xf numFmtId="0" fontId="85" fillId="4" borderId="4" xfId="38" applyFont="1" applyFill="1" applyBorder="1"/>
    <xf numFmtId="0" fontId="84" fillId="4" borderId="0" xfId="38" applyFont="1" applyFill="1"/>
    <xf numFmtId="167" fontId="84" fillId="4" borderId="5" xfId="38" applyNumberFormat="1" applyFont="1" applyFill="1" applyBorder="1"/>
    <xf numFmtId="10" fontId="84" fillId="4" borderId="5" xfId="38" applyNumberFormat="1" applyFont="1" applyFill="1" applyBorder="1" applyAlignment="1">
      <alignment horizontal="center"/>
    </xf>
    <xf numFmtId="0" fontId="84" fillId="4" borderId="4" xfId="38" applyFont="1" applyFill="1" applyBorder="1"/>
    <xf numFmtId="0" fontId="85" fillId="4" borderId="0" xfId="38" applyFont="1" applyFill="1"/>
    <xf numFmtId="167" fontId="85" fillId="4" borderId="13" xfId="38" applyNumberFormat="1" applyFont="1" applyFill="1" applyBorder="1"/>
    <xf numFmtId="10" fontId="85" fillId="4" borderId="13" xfId="38" applyNumberFormat="1" applyFont="1" applyFill="1" applyBorder="1" applyAlignment="1">
      <alignment horizontal="center"/>
    </xf>
    <xf numFmtId="0" fontId="85" fillId="4" borderId="47" xfId="38" applyFont="1" applyFill="1" applyBorder="1"/>
    <xf numFmtId="10" fontId="87" fillId="4" borderId="8" xfId="38" applyNumberFormat="1" applyFont="1" applyFill="1" applyBorder="1" applyAlignment="1">
      <alignment horizontal="center"/>
    </xf>
    <xf numFmtId="0" fontId="87" fillId="4" borderId="7" xfId="38" applyFont="1" applyFill="1" applyBorder="1" applyAlignment="1">
      <alignment horizontal="right"/>
    </xf>
    <xf numFmtId="10" fontId="87" fillId="4" borderId="5" xfId="38" applyNumberFormat="1" applyFont="1" applyFill="1" applyBorder="1" applyAlignment="1">
      <alignment horizontal="center"/>
    </xf>
    <xf numFmtId="0" fontId="87" fillId="4" borderId="4" xfId="38" applyFont="1" applyFill="1" applyBorder="1" applyAlignment="1">
      <alignment horizontal="right"/>
    </xf>
    <xf numFmtId="4" fontId="80" fillId="4" borderId="5" xfId="38" applyNumberFormat="1" applyFill="1" applyBorder="1"/>
    <xf numFmtId="4" fontId="84" fillId="4" borderId="2" xfId="38" applyNumberFormat="1" applyFont="1" applyFill="1" applyBorder="1"/>
    <xf numFmtId="10" fontId="84" fillId="4" borderId="53" xfId="38" applyNumberFormat="1" applyFont="1" applyFill="1" applyBorder="1"/>
    <xf numFmtId="49" fontId="84" fillId="4" borderId="1" xfId="38" applyNumberFormat="1" applyFont="1" applyFill="1" applyBorder="1"/>
    <xf numFmtId="0" fontId="80" fillId="4" borderId="0" xfId="38" applyFill="1"/>
    <xf numFmtId="4" fontId="80" fillId="4" borderId="0" xfId="38" applyNumberFormat="1" applyFill="1"/>
    <xf numFmtId="4" fontId="15" fillId="4" borderId="5" xfId="38" applyNumberFormat="1" applyFont="1" applyFill="1" applyBorder="1"/>
    <xf numFmtId="4" fontId="15" fillId="4" borderId="8" xfId="38" applyNumberFormat="1" applyFont="1" applyFill="1" applyBorder="1"/>
    <xf numFmtId="49" fontId="15" fillId="4" borderId="8" xfId="38" applyNumberFormat="1" applyFont="1" applyFill="1" applyBorder="1"/>
    <xf numFmtId="49" fontId="15" fillId="4" borderId="7" xfId="38" applyNumberFormat="1" applyFont="1" applyFill="1" applyBorder="1"/>
    <xf numFmtId="4" fontId="67" fillId="4" borderId="5" xfId="38" applyNumberFormat="1" applyFont="1" applyFill="1" applyBorder="1"/>
    <xf numFmtId="4" fontId="88" fillId="4" borderId="5" xfId="38" applyNumberFormat="1" applyFont="1" applyFill="1" applyBorder="1"/>
    <xf numFmtId="49" fontId="67" fillId="4" borderId="5" xfId="38" applyNumberFormat="1" applyFont="1" applyFill="1" applyBorder="1"/>
    <xf numFmtId="49" fontId="67" fillId="4" borderId="4" xfId="38" applyNumberFormat="1" applyFont="1" applyFill="1" applyBorder="1"/>
    <xf numFmtId="49" fontId="15" fillId="4" borderId="5" xfId="38" applyNumberFormat="1" applyFont="1" applyFill="1" applyBorder="1"/>
    <xf numFmtId="49" fontId="15" fillId="4" borderId="4" xfId="38" applyNumberFormat="1" applyFont="1" applyFill="1" applyBorder="1"/>
    <xf numFmtId="4" fontId="86" fillId="4" borderId="5" xfId="38" applyNumberFormat="1" applyFont="1" applyFill="1" applyBorder="1"/>
    <xf numFmtId="4" fontId="68" fillId="4" borderId="5" xfId="38" applyNumberFormat="1" applyFont="1" applyFill="1" applyBorder="1"/>
    <xf numFmtId="49" fontId="68" fillId="4" borderId="5" xfId="38" applyNumberFormat="1" applyFont="1" applyFill="1" applyBorder="1"/>
    <xf numFmtId="49" fontId="68" fillId="4" borderId="4" xfId="38" applyNumberFormat="1" applyFont="1" applyFill="1" applyBorder="1"/>
    <xf numFmtId="4" fontId="69"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 fontId="89" fillId="4" borderId="5" xfId="38" applyNumberFormat="1" applyFont="1" applyFill="1" applyBorder="1"/>
    <xf numFmtId="4" fontId="89" fillId="4" borderId="17" xfId="38" applyNumberFormat="1" applyFont="1" applyFill="1" applyBorder="1"/>
    <xf numFmtId="49" fontId="89" fillId="4" borderId="5" xfId="38" applyNumberFormat="1" applyFont="1" applyFill="1" applyBorder="1"/>
    <xf numFmtId="49" fontId="89" fillId="4" borderId="4" xfId="38" applyNumberFormat="1" applyFont="1" applyFill="1" applyBorder="1"/>
    <xf numFmtId="4" fontId="90" fillId="4" borderId="5" xfId="38" applyNumberFormat="1" applyFont="1" applyFill="1" applyBorder="1"/>
    <xf numFmtId="4" fontId="90" fillId="4" borderId="17" xfId="38" applyNumberFormat="1" applyFont="1" applyFill="1" applyBorder="1"/>
    <xf numFmtId="49" fontId="90" fillId="4" borderId="5" xfId="38" applyNumberFormat="1" applyFont="1" applyFill="1" applyBorder="1" applyAlignment="1">
      <alignment vertical="center" wrapText="1"/>
    </xf>
    <xf numFmtId="49" fontId="90" fillId="4" borderId="4" xfId="38" applyNumberFormat="1" applyFont="1" applyFill="1" applyBorder="1"/>
    <xf numFmtId="0" fontId="14" fillId="0" borderId="0" xfId="38" applyFont="1" applyFill="1" applyAlignment="1">
      <alignment vertical="center"/>
    </xf>
    <xf numFmtId="174" fontId="14" fillId="0" borderId="0" xfId="38" applyNumberFormat="1" applyFont="1" applyFill="1" applyAlignment="1" applyProtection="1">
      <alignment horizontal="left" vertical="center"/>
    </xf>
    <xf numFmtId="174" fontId="21" fillId="0" borderId="0" xfId="38" applyNumberFormat="1" applyFont="1" applyFill="1" applyAlignment="1" applyProtection="1">
      <alignment horizontal="left" vertical="center"/>
    </xf>
    <xf numFmtId="0" fontId="14" fillId="0" borderId="0" xfId="38" applyFont="1" applyFill="1" applyBorder="1" applyAlignment="1">
      <alignment vertical="center"/>
    </xf>
    <xf numFmtId="174" fontId="14" fillId="0" borderId="0" xfId="38" applyNumberFormat="1" applyFont="1" applyFill="1" applyAlignment="1" applyProtection="1">
      <alignment vertical="center"/>
    </xf>
    <xf numFmtId="174" fontId="93" fillId="0" borderId="0" xfId="38" applyNumberFormat="1" applyFont="1" applyFill="1" applyAlignment="1" applyProtection="1">
      <alignment vertical="center"/>
    </xf>
    <xf numFmtId="174" fontId="93" fillId="0" borderId="0" xfId="38" applyNumberFormat="1" applyFont="1" applyFill="1" applyAlignment="1" applyProtection="1">
      <alignment horizontal="center" vertical="center"/>
    </xf>
    <xf numFmtId="4" fontId="73" fillId="0" borderId="5" xfId="0" applyNumberFormat="1" applyFont="1" applyBorder="1"/>
    <xf numFmtId="4" fontId="0" fillId="0" borderId="2" xfId="0" applyNumberFormat="1" applyBorder="1"/>
    <xf numFmtId="4" fontId="68" fillId="0" borderId="2" xfId="0" applyNumberFormat="1" applyFont="1" applyBorder="1"/>
    <xf numFmtId="0" fontId="95" fillId="4" borderId="1" xfId="12" applyFont="1" applyFill="1" applyBorder="1" applyAlignment="1">
      <alignment horizontal="center" vertical="center"/>
    </xf>
    <xf numFmtId="4" fontId="21" fillId="4" borderId="0" xfId="12" applyNumberFormat="1" applyFont="1" applyFill="1"/>
    <xf numFmtId="0" fontId="20" fillId="0" borderId="0" xfId="12" applyFont="1"/>
    <xf numFmtId="0" fontId="21" fillId="4" borderId="0" xfId="12" applyFont="1" applyFill="1"/>
    <xf numFmtId="49" fontId="73" fillId="4" borderId="31" xfId="0" applyNumberFormat="1" applyFont="1" applyFill="1" applyBorder="1" applyAlignment="1"/>
    <xf numFmtId="4" fontId="70" fillId="4" borderId="2" xfId="0" applyNumberFormat="1" applyFont="1" applyFill="1" applyBorder="1"/>
    <xf numFmtId="4" fontId="70" fillId="4" borderId="57" xfId="0" applyNumberFormat="1" applyFont="1" applyFill="1" applyBorder="1"/>
    <xf numFmtId="2" fontId="12" fillId="4" borderId="11" xfId="15" applyNumberFormat="1" applyFont="1" applyFill="1" applyBorder="1" applyAlignment="1">
      <alignment horizontal="center"/>
    </xf>
    <xf numFmtId="4" fontId="15" fillId="4" borderId="5" xfId="15" applyNumberFormat="1" applyFont="1" applyFill="1" applyBorder="1"/>
    <xf numFmtId="3" fontId="72" fillId="4" borderId="5" xfId="15" applyNumberFormat="1" applyFont="1" applyFill="1" applyBorder="1" applyAlignment="1">
      <alignment horizontal="center"/>
    </xf>
    <xf numFmtId="4" fontId="15" fillId="0" borderId="65" xfId="15" applyNumberFormat="1" applyFont="1" applyFill="1" applyBorder="1"/>
    <xf numFmtId="4" fontId="15" fillId="0" borderId="67" xfId="15" applyNumberFormat="1" applyFont="1" applyFill="1" applyBorder="1"/>
    <xf numFmtId="4" fontId="53" fillId="0" borderId="67" xfId="15" applyNumberFormat="1" applyFont="1" applyFill="1" applyBorder="1" applyAlignment="1">
      <alignment horizontal="center"/>
    </xf>
    <xf numFmtId="2" fontId="12" fillId="4" borderId="80" xfId="15" applyNumberFormat="1" applyFont="1" applyFill="1" applyBorder="1" applyAlignment="1">
      <alignment horizontal="center"/>
    </xf>
    <xf numFmtId="2" fontId="12" fillId="3" borderId="80" xfId="15" applyNumberFormat="1" applyFont="1" applyFill="1" applyBorder="1" applyAlignment="1">
      <alignment horizontal="center"/>
    </xf>
    <xf numFmtId="3" fontId="72" fillId="4" borderId="6" xfId="15" applyNumberFormat="1" applyFont="1" applyFill="1" applyBorder="1" applyAlignment="1">
      <alignment horizontal="center"/>
    </xf>
    <xf numFmtId="4" fontId="15" fillId="0" borderId="8" xfId="7" applyNumberFormat="1" applyFont="1" applyFill="1" applyBorder="1" applyAlignment="1"/>
    <xf numFmtId="2" fontId="12" fillId="3" borderId="69" xfId="15" applyNumberFormat="1" applyFont="1" applyFill="1" applyBorder="1" applyAlignment="1">
      <alignment horizontal="center"/>
    </xf>
    <xf numFmtId="174" fontId="94" fillId="0" borderId="0" xfId="38" applyNumberFormat="1" applyFont="1" applyFill="1" applyAlignment="1" applyProtection="1">
      <alignment horizontal="center" vertical="center"/>
    </xf>
    <xf numFmtId="0" fontId="14" fillId="0" borderId="0" xfId="12" applyFont="1" applyFill="1" applyAlignment="1">
      <alignment horizontal="center"/>
    </xf>
    <xf numFmtId="0" fontId="11" fillId="0" borderId="0" xfId="12" applyFont="1" applyAlignment="1">
      <alignment horizontal="center" vertical="top"/>
    </xf>
    <xf numFmtId="0" fontId="15" fillId="0" borderId="0" xfId="12" applyFont="1" applyFill="1" applyAlignment="1">
      <alignment horizontal="center"/>
    </xf>
    <xf numFmtId="0" fontId="17" fillId="0" borderId="0" xfId="12" applyFont="1" applyFill="1" applyAlignment="1">
      <alignment horizontal="center"/>
    </xf>
    <xf numFmtId="4" fontId="70" fillId="4" borderId="3" xfId="0" applyNumberFormat="1" applyFont="1" applyFill="1" applyBorder="1" applyAlignment="1">
      <alignment horizontal="center"/>
    </xf>
    <xf numFmtId="4" fontId="70" fillId="4" borderId="2" xfId="0" applyNumberFormat="1" applyFont="1" applyFill="1" applyBorder="1" applyAlignment="1">
      <alignment horizontal="center"/>
    </xf>
    <xf numFmtId="4" fontId="17" fillId="4" borderId="4"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 fontId="19" fillId="4" borderId="5" xfId="12" applyNumberFormat="1" applyFont="1" applyFill="1" applyBorder="1" applyAlignment="1" applyProtection="1">
      <alignment horizontal="center" vertical="center"/>
      <protection locked="0"/>
    </xf>
    <xf numFmtId="10" fontId="17" fillId="4" borderId="6" xfId="12" applyNumberFormat="1" applyFont="1" applyFill="1" applyBorder="1" applyAlignment="1">
      <alignment horizontal="center"/>
    </xf>
    <xf numFmtId="4" fontId="17" fillId="0" borderId="0" xfId="12" applyNumberFormat="1" applyFont="1" applyAlignment="1">
      <alignment horizontal="center"/>
    </xf>
    <xf numFmtId="4" fontId="17" fillId="0" borderId="0" xfId="12" applyNumberFormat="1" applyFont="1" applyFill="1" applyAlignment="1">
      <alignment horizontal="center"/>
    </xf>
    <xf numFmtId="49" fontId="15" fillId="0" borderId="5" xfId="0" applyNumberFormat="1" applyFont="1" applyBorder="1" applyAlignment="1"/>
    <xf numFmtId="0" fontId="19" fillId="0" borderId="5" xfId="12" applyFont="1" applyBorder="1" applyAlignment="1" applyProtection="1">
      <alignment horizontal="center" vertical="center"/>
      <protection locked="0"/>
    </xf>
    <xf numFmtId="4" fontId="17" fillId="0" borderId="5" xfId="12" applyNumberFormat="1" applyFont="1" applyBorder="1"/>
    <xf numFmtId="4" fontId="17" fillId="4" borderId="5" xfId="12" applyNumberFormat="1" applyFont="1" applyFill="1" applyBorder="1"/>
    <xf numFmtId="4" fontId="17" fillId="0" borderId="2" xfId="12" applyNumberFormat="1" applyFont="1" applyBorder="1"/>
    <xf numFmtId="4" fontId="17" fillId="0" borderId="5" xfId="12" applyNumberFormat="1" applyFont="1" applyFill="1" applyBorder="1"/>
    <xf numFmtId="0" fontId="16" fillId="0" borderId="5" xfId="12" applyFont="1" applyBorder="1" applyAlignment="1" applyProtection="1">
      <alignment horizontal="center" vertical="center"/>
      <protection locked="0"/>
    </xf>
    <xf numFmtId="49" fontId="97" fillId="4" borderId="1" xfId="0" applyNumberFormat="1" applyFont="1" applyFill="1" applyBorder="1"/>
    <xf numFmtId="4" fontId="17" fillId="0" borderId="2" xfId="12" applyNumberFormat="1" applyFont="1" applyFill="1" applyBorder="1"/>
    <xf numFmtId="49" fontId="73" fillId="0" borderId="4" xfId="0" applyNumberFormat="1" applyFont="1" applyBorder="1"/>
    <xf numFmtId="10" fontId="17" fillId="0" borderId="5" xfId="12" applyNumberFormat="1" applyFont="1" applyBorder="1"/>
    <xf numFmtId="0" fontId="17" fillId="4" borderId="5" xfId="12" applyFont="1" applyFill="1" applyBorder="1" applyAlignment="1" applyProtection="1">
      <alignment horizontal="center" vertical="center"/>
      <protection locked="0"/>
    </xf>
    <xf numFmtId="49" fontId="70" fillId="4" borderId="2" xfId="0" applyNumberFormat="1" applyFont="1" applyFill="1" applyBorder="1" applyAlignment="1"/>
    <xf numFmtId="0" fontId="16" fillId="0" borderId="2" xfId="12" applyFont="1" applyBorder="1" applyAlignment="1" applyProtection="1">
      <alignment horizontal="center" vertical="center"/>
      <protection locked="0"/>
    </xf>
    <xf numFmtId="4" fontId="70" fillId="0" borderId="2" xfId="0" applyNumberFormat="1" applyFont="1" applyBorder="1"/>
    <xf numFmtId="10" fontId="17" fillId="0" borderId="2" xfId="12" applyNumberFormat="1" applyFont="1" applyBorder="1"/>
    <xf numFmtId="4" fontId="51" fillId="0" borderId="0" xfId="15" applyNumberFormat="1" applyFont="1" applyBorder="1" applyAlignment="1">
      <alignment horizontal="center"/>
    </xf>
    <xf numFmtId="173" fontId="92" fillId="8" borderId="53" xfId="38" applyNumberFormat="1" applyFont="1" applyFill="1" applyBorder="1" applyAlignment="1">
      <alignment horizontal="center" vertical="center" wrapText="1"/>
    </xf>
    <xf numFmtId="167" fontId="85" fillId="4" borderId="55" xfId="38" applyNumberFormat="1" applyFont="1" applyFill="1" applyBorder="1"/>
    <xf numFmtId="167" fontId="85" fillId="4" borderId="17" xfId="38" applyNumberFormat="1" applyFont="1" applyFill="1" applyBorder="1"/>
    <xf numFmtId="167" fontId="84" fillId="4" borderId="17" xfId="38" applyNumberFormat="1" applyFont="1" applyFill="1" applyBorder="1"/>
    <xf numFmtId="167" fontId="85" fillId="0" borderId="17" xfId="38" applyNumberFormat="1" applyFont="1" applyBorder="1"/>
    <xf numFmtId="167" fontId="84" fillId="0" borderId="17" xfId="38" applyNumberFormat="1" applyFont="1" applyBorder="1"/>
    <xf numFmtId="0" fontId="15" fillId="0" borderId="22" xfId="17" applyBorder="1">
      <alignment vertical="center"/>
    </xf>
    <xf numFmtId="0" fontId="15" fillId="0" borderId="52" xfId="17" applyBorder="1">
      <alignment vertical="center"/>
    </xf>
    <xf numFmtId="4" fontId="13" fillId="0" borderId="26" xfId="15" applyNumberFormat="1" applyFont="1" applyFill="1" applyBorder="1" applyAlignment="1">
      <alignment horizontal="center" vertical="center"/>
    </xf>
    <xf numFmtId="4" fontId="55" fillId="0" borderId="53" xfId="15" applyNumberFormat="1" applyFont="1" applyFill="1" applyBorder="1" applyAlignment="1">
      <alignment horizontal="center" vertical="center"/>
    </xf>
    <xf numFmtId="4" fontId="13" fillId="0" borderId="0" xfId="15" applyNumberFormat="1" applyFont="1" applyFill="1" applyBorder="1" applyAlignment="1">
      <alignment horizontal="left" vertical="center"/>
    </xf>
    <xf numFmtId="4" fontId="13" fillId="0" borderId="0" xfId="15" applyNumberFormat="1" applyFont="1" applyFill="1" applyBorder="1" applyAlignment="1">
      <alignment horizontal="right" vertical="center"/>
    </xf>
    <xf numFmtId="4" fontId="53" fillId="0" borderId="0" xfId="15" applyNumberFormat="1" applyFont="1" applyFill="1" applyAlignment="1">
      <alignment horizontal="center" vertical="center"/>
    </xf>
    <xf numFmtId="4" fontId="15" fillId="0" borderId="0" xfId="17" applyNumberFormat="1" applyAlignment="1">
      <alignment vertical="center"/>
    </xf>
    <xf numFmtId="4" fontId="15" fillId="0" borderId="46" xfId="15" applyNumberFormat="1" applyFont="1" applyFill="1" applyBorder="1" applyAlignment="1">
      <alignment horizontal="center" vertical="center"/>
    </xf>
    <xf numFmtId="4" fontId="48" fillId="0" borderId="43" xfId="15" applyNumberFormat="1" applyFont="1" applyFill="1" applyBorder="1" applyAlignment="1">
      <alignment vertical="center"/>
    </xf>
    <xf numFmtId="4" fontId="13" fillId="0" borderId="0" xfId="15" applyNumberFormat="1" applyFont="1" applyFill="1" applyBorder="1" applyAlignment="1">
      <alignment horizontal="center" vertical="center"/>
    </xf>
    <xf numFmtId="4" fontId="15" fillId="0" borderId="0" xfId="15" applyNumberFormat="1" applyFont="1" applyFill="1" applyAlignment="1">
      <alignment vertical="center"/>
    </xf>
    <xf numFmtId="4" fontId="15" fillId="4" borderId="6" xfId="15" applyNumberFormat="1" applyFont="1" applyFill="1" applyBorder="1"/>
    <xf numFmtId="0" fontId="17" fillId="4" borderId="0" xfId="12" applyFont="1" applyFill="1"/>
    <xf numFmtId="4" fontId="17" fillId="4" borderId="0" xfId="12" applyNumberFormat="1" applyFont="1" applyFill="1"/>
    <xf numFmtId="0" fontId="98" fillId="4" borderId="0" xfId="0" applyFont="1" applyFill="1"/>
    <xf numFmtId="0" fontId="99" fillId="4" borderId="0" xfId="0" applyFont="1" applyFill="1"/>
    <xf numFmtId="0" fontId="98" fillId="4" borderId="0" xfId="0" applyFont="1" applyFill="1" applyAlignment="1"/>
    <xf numFmtId="0" fontId="56" fillId="4" borderId="0" xfId="0" applyFont="1" applyFill="1"/>
    <xf numFmtId="0" fontId="56" fillId="4" borderId="0" xfId="0" applyFont="1" applyFill="1" applyBorder="1" applyAlignment="1"/>
    <xf numFmtId="0" fontId="56" fillId="4" borderId="60" xfId="0" applyFont="1" applyFill="1" applyBorder="1" applyAlignment="1">
      <alignment horizontal="center" vertical="center"/>
    </xf>
    <xf numFmtId="0" fontId="98" fillId="4" borderId="18" xfId="0" applyFont="1" applyFill="1" applyBorder="1" applyAlignment="1">
      <alignment horizontal="center"/>
    </xf>
    <xf numFmtId="0" fontId="100" fillId="4" borderId="18" xfId="0" applyFont="1" applyFill="1" applyBorder="1" applyAlignment="1">
      <alignment horizontal="center"/>
    </xf>
    <xf numFmtId="0" fontId="56" fillId="4" borderId="18" xfId="0" applyFont="1" applyFill="1" applyBorder="1"/>
    <xf numFmtId="0" fontId="98" fillId="4" borderId="5" xfId="0" applyFont="1" applyFill="1" applyBorder="1"/>
    <xf numFmtId="0" fontId="56" fillId="4" borderId="7" xfId="0" applyFont="1" applyFill="1" applyBorder="1" applyAlignment="1">
      <alignment vertical="center"/>
    </xf>
    <xf numFmtId="0" fontId="56" fillId="4" borderId="16" xfId="0" applyFont="1" applyFill="1" applyBorder="1" applyAlignment="1">
      <alignment horizontal="center" vertical="top"/>
    </xf>
    <xf numFmtId="0" fontId="101" fillId="4" borderId="16" xfId="0" applyFont="1" applyFill="1" applyBorder="1" applyAlignment="1">
      <alignment horizontal="center" vertical="top"/>
    </xf>
    <xf numFmtId="0" fontId="98" fillId="4" borderId="49" xfId="0" applyFont="1" applyFill="1" applyBorder="1" applyAlignment="1">
      <alignment horizontal="center" vertical="top"/>
    </xf>
    <xf numFmtId="4" fontId="102" fillId="4" borderId="1" xfId="0" applyNumberFormat="1" applyFont="1" applyFill="1" applyBorder="1" applyAlignment="1">
      <alignment horizontal="center"/>
    </xf>
    <xf numFmtId="4" fontId="102" fillId="4" borderId="2" xfId="0" applyNumberFormat="1" applyFont="1" applyFill="1" applyBorder="1" applyAlignment="1">
      <alignment horizontal="center"/>
    </xf>
    <xf numFmtId="4" fontId="99" fillId="4" borderId="2" xfId="0" applyNumberFormat="1" applyFont="1" applyFill="1" applyBorder="1" applyAlignment="1">
      <alignment horizontal="center"/>
    </xf>
    <xf numFmtId="4" fontId="99" fillId="4" borderId="57" xfId="0" applyNumberFormat="1" applyFont="1" applyFill="1" applyBorder="1" applyAlignment="1">
      <alignment horizontal="center"/>
    </xf>
    <xf numFmtId="4" fontId="99" fillId="4" borderId="9" xfId="0" applyNumberFormat="1" applyFont="1" applyFill="1" applyBorder="1" applyAlignment="1">
      <alignment horizontal="center"/>
    </xf>
    <xf numFmtId="4" fontId="98" fillId="4" borderId="31" xfId="0" applyNumberFormat="1" applyFont="1" applyFill="1" applyBorder="1" applyAlignment="1">
      <alignment horizontal="center"/>
    </xf>
    <xf numFmtId="4" fontId="102" fillId="4" borderId="31" xfId="0" applyNumberFormat="1" applyFont="1" applyFill="1" applyBorder="1" applyAlignment="1">
      <alignment horizontal="center"/>
    </xf>
    <xf numFmtId="4" fontId="56" fillId="4" borderId="0" xfId="0" applyNumberFormat="1" applyFont="1" applyFill="1"/>
    <xf numFmtId="0" fontId="102" fillId="4" borderId="0" xfId="0" applyFont="1" applyFill="1"/>
    <xf numFmtId="4" fontId="56" fillId="4" borderId="4" xfId="0" applyNumberFormat="1" applyFont="1" applyFill="1" applyBorder="1" applyAlignment="1">
      <alignment horizontal="center"/>
    </xf>
    <xf numFmtId="4" fontId="56" fillId="4" borderId="5" xfId="0" applyNumberFormat="1" applyFont="1" applyFill="1" applyBorder="1" applyAlignment="1">
      <alignment horizontal="center"/>
    </xf>
    <xf numFmtId="4" fontId="98" fillId="4" borderId="5" xfId="0" applyNumberFormat="1" applyFont="1" applyFill="1" applyBorder="1" applyAlignment="1">
      <alignment horizontal="center"/>
    </xf>
    <xf numFmtId="4" fontId="98" fillId="4" borderId="9" xfId="0" applyNumberFormat="1" applyFont="1" applyFill="1" applyBorder="1" applyAlignment="1">
      <alignment horizontal="center"/>
    </xf>
    <xf numFmtId="4" fontId="56" fillId="4" borderId="31" xfId="0" applyNumberFormat="1" applyFont="1" applyFill="1" applyBorder="1" applyAlignment="1">
      <alignment horizontal="center"/>
    </xf>
    <xf numFmtId="0" fontId="39" fillId="4" borderId="10" xfId="12" applyFont="1" applyFill="1" applyBorder="1" applyAlignment="1" applyProtection="1">
      <alignment horizontal="center" vertical="center"/>
      <protection locked="0"/>
    </xf>
    <xf numFmtId="4" fontId="102" fillId="4" borderId="4" xfId="0" applyNumberFormat="1" applyFont="1" applyFill="1" applyBorder="1" applyAlignment="1">
      <alignment horizontal="center"/>
    </xf>
    <xf numFmtId="4" fontId="102" fillId="4" borderId="5" xfId="0" applyNumberFormat="1" applyFont="1" applyFill="1" applyBorder="1" applyAlignment="1">
      <alignment horizontal="center"/>
    </xf>
    <xf numFmtId="4" fontId="99" fillId="4" borderId="5" xfId="0" applyNumberFormat="1" applyFont="1" applyFill="1" applyBorder="1" applyAlignment="1">
      <alignment horizontal="center"/>
    </xf>
    <xf numFmtId="4" fontId="98" fillId="4" borderId="4" xfId="0" applyNumberFormat="1" applyFont="1" applyFill="1" applyBorder="1" applyAlignment="1">
      <alignment horizontal="center"/>
    </xf>
    <xf numFmtId="0" fontId="14" fillId="4" borderId="10" xfId="12" applyFont="1" applyFill="1" applyBorder="1" applyAlignment="1">
      <alignment horizontal="center" vertical="center"/>
    </xf>
    <xf numFmtId="0" fontId="39" fillId="4" borderId="10" xfId="12" applyFont="1" applyFill="1" applyBorder="1" applyAlignment="1" applyProtection="1">
      <alignment vertical="center"/>
      <protection locked="0"/>
    </xf>
    <xf numFmtId="0" fontId="98" fillId="4" borderId="20" xfId="0" applyFont="1" applyFill="1" applyBorder="1" applyAlignment="1"/>
    <xf numFmtId="0" fontId="99" fillId="4" borderId="19" xfId="0" applyFont="1" applyFill="1" applyBorder="1" applyAlignment="1">
      <alignment horizontal="center"/>
    </xf>
    <xf numFmtId="0" fontId="98" fillId="4" borderId="59" xfId="0" applyFont="1" applyFill="1" applyBorder="1" applyAlignment="1">
      <alignment horizontal="center"/>
    </xf>
    <xf numFmtId="0" fontId="98" fillId="4" borderId="17" xfId="0" applyFont="1" applyFill="1" applyBorder="1" applyAlignment="1">
      <alignment horizontal="center"/>
    </xf>
    <xf numFmtId="0" fontId="98" fillId="4" borderId="0" xfId="0" applyFont="1" applyFill="1" applyBorder="1" applyAlignment="1"/>
    <xf numFmtId="174" fontId="94" fillId="0" borderId="0" xfId="38" applyNumberFormat="1" applyFont="1" applyFill="1" applyAlignment="1" applyProtection="1">
      <alignment horizontal="center" vertical="center"/>
    </xf>
    <xf numFmtId="4" fontId="51" fillId="0" borderId="0" xfId="15" applyNumberFormat="1" applyFont="1" applyBorder="1" applyAlignment="1">
      <alignment horizontal="center"/>
    </xf>
    <xf numFmtId="4" fontId="19" fillId="4" borderId="9" xfId="12" applyNumberFormat="1" applyFont="1" applyFill="1" applyBorder="1" applyAlignment="1" applyProtection="1">
      <alignment horizontal="right" vertical="center"/>
      <protection locked="0"/>
    </xf>
    <xf numFmtId="0" fontId="98" fillId="4" borderId="0" xfId="0" applyFont="1" applyFill="1" applyBorder="1"/>
    <xf numFmtId="39" fontId="28" fillId="0" borderId="0" xfId="26" applyNumberFormat="1" applyFont="1" applyFill="1" applyBorder="1" applyAlignment="1">
      <alignment horizontal="center" vertical="center" wrapText="1"/>
    </xf>
    <xf numFmtId="0" fontId="14" fillId="2" borderId="5" xfId="12" applyNumberFormat="1" applyFont="1" applyFill="1" applyBorder="1" applyAlignment="1">
      <alignment horizontal="center"/>
    </xf>
    <xf numFmtId="4" fontId="17" fillId="4" borderId="6" xfId="12" applyNumberFormat="1" applyFont="1" applyFill="1" applyBorder="1" applyAlignment="1" applyProtection="1">
      <alignment horizontal="center" vertical="center"/>
      <protection locked="0"/>
    </xf>
    <xf numFmtId="49" fontId="15" fillId="4" borderId="36" xfId="0" applyNumberFormat="1" applyFont="1" applyFill="1" applyBorder="1"/>
    <xf numFmtId="4" fontId="15" fillId="0" borderId="0" xfId="12" applyNumberFormat="1" applyFont="1" applyFill="1" applyAlignment="1">
      <alignment vertical="top"/>
    </xf>
    <xf numFmtId="49" fontId="70" fillId="4" borderId="60" xfId="0" applyNumberFormat="1" applyFont="1" applyFill="1" applyBorder="1"/>
    <xf numFmtId="49" fontId="13" fillId="4" borderId="36" xfId="0" applyNumberFormat="1" applyFont="1" applyFill="1" applyBorder="1"/>
    <xf numFmtId="49" fontId="73" fillId="4" borderId="36" xfId="0" applyNumberFormat="1" applyFont="1" applyFill="1" applyBorder="1" applyAlignment="1"/>
    <xf numFmtId="49" fontId="15" fillId="4" borderId="36" xfId="0" applyNumberFormat="1" applyFont="1" applyFill="1" applyBorder="1" applyAlignment="1">
      <alignment horizontal="left"/>
    </xf>
    <xf numFmtId="49" fontId="15" fillId="4" borderId="36" xfId="0" applyNumberFormat="1" applyFont="1" applyFill="1" applyBorder="1" applyAlignment="1"/>
    <xf numFmtId="0" fontId="13" fillId="4" borderId="61" xfId="12" applyFont="1" applyFill="1" applyBorder="1" applyAlignment="1">
      <alignment horizontal="center" vertical="center"/>
    </xf>
    <xf numFmtId="49" fontId="73" fillId="4" borderId="58" xfId="0" applyNumberFormat="1" applyFont="1" applyFill="1" applyBorder="1" applyAlignment="1"/>
    <xf numFmtId="4" fontId="19" fillId="4" borderId="10" xfId="12" applyNumberFormat="1" applyFont="1" applyFill="1" applyBorder="1" applyAlignment="1" applyProtection="1">
      <alignment horizontal="right" vertical="center"/>
      <protection locked="0"/>
    </xf>
    <xf numFmtId="0" fontId="15" fillId="4" borderId="5" xfId="12" applyFont="1" applyFill="1" applyBorder="1" applyAlignment="1">
      <alignment horizontal="center" vertical="center"/>
    </xf>
    <xf numFmtId="0" fontId="58" fillId="4" borderId="0" xfId="0" applyFont="1" applyFill="1" applyAlignment="1">
      <alignment horizontal="center"/>
    </xf>
    <xf numFmtId="0" fontId="57" fillId="4" borderId="0" xfId="0" applyFont="1" applyFill="1" applyAlignment="1">
      <alignment horizontal="left"/>
    </xf>
    <xf numFmtId="0" fontId="58" fillId="4" borderId="0" xfId="0" applyFont="1" applyFill="1"/>
    <xf numFmtId="0" fontId="57" fillId="4" borderId="0" xfId="0" applyFont="1" applyFill="1"/>
    <xf numFmtId="0" fontId="58" fillId="4" borderId="0" xfId="0" applyFont="1" applyFill="1" applyBorder="1" applyAlignment="1">
      <alignment horizontal="left"/>
    </xf>
    <xf numFmtId="49" fontId="15" fillId="4" borderId="42" xfId="0" applyNumberFormat="1" applyFont="1" applyFill="1" applyBorder="1"/>
    <xf numFmtId="49" fontId="15" fillId="4" borderId="64" xfId="0" applyNumberFormat="1" applyFont="1" applyFill="1" applyBorder="1"/>
    <xf numFmtId="0" fontId="57" fillId="4" borderId="14" xfId="0" applyFont="1" applyFill="1" applyBorder="1" applyAlignment="1">
      <alignment horizontal="center"/>
    </xf>
    <xf numFmtId="0" fontId="57" fillId="4" borderId="20" xfId="0" applyFont="1" applyFill="1" applyBorder="1" applyAlignment="1">
      <alignment horizontal="left"/>
    </xf>
    <xf numFmtId="0" fontId="57" fillId="4" borderId="0" xfId="0" applyFont="1" applyFill="1" applyBorder="1" applyAlignment="1">
      <alignment horizontal="left"/>
    </xf>
    <xf numFmtId="0" fontId="14" fillId="4" borderId="40" xfId="12" applyFont="1" applyFill="1" applyBorder="1" applyAlignment="1">
      <alignment horizontal="center" vertical="center"/>
    </xf>
    <xf numFmtId="49" fontId="15" fillId="4" borderId="60" xfId="0" applyNumberFormat="1" applyFont="1" applyFill="1" applyBorder="1"/>
    <xf numFmtId="49" fontId="15" fillId="4" borderId="38" xfId="0" applyNumberFormat="1" applyFont="1" applyFill="1" applyBorder="1"/>
    <xf numFmtId="0" fontId="39" fillId="4" borderId="28" xfId="12" applyFont="1" applyFill="1" applyBorder="1" applyAlignment="1" applyProtection="1">
      <alignment horizontal="center" vertical="center"/>
      <protection locked="0"/>
    </xf>
    <xf numFmtId="4" fontId="15" fillId="0" borderId="0" xfId="12" applyNumberFormat="1" applyFont="1" applyFill="1" applyAlignment="1">
      <alignment horizontal="center"/>
    </xf>
    <xf numFmtId="0" fontId="15" fillId="4" borderId="13" xfId="12" applyFont="1" applyFill="1" applyBorder="1" applyAlignment="1">
      <alignment horizontal="center" vertical="center"/>
    </xf>
    <xf numFmtId="4" fontId="15" fillId="4" borderId="3" xfId="0" applyNumberFormat="1" applyFont="1" applyFill="1" applyBorder="1" applyAlignment="1">
      <alignment horizontal="center"/>
    </xf>
    <xf numFmtId="0" fontId="15" fillId="4" borderId="5" xfId="12" applyNumberFormat="1" applyFont="1" applyFill="1" applyBorder="1" applyAlignment="1">
      <alignment horizontal="center"/>
    </xf>
    <xf numFmtId="4" fontId="96" fillId="4" borderId="44" xfId="12" applyNumberFormat="1" applyFont="1" applyFill="1" applyBorder="1" applyAlignment="1">
      <alignment horizontal="center"/>
    </xf>
    <xf numFmtId="0" fontId="19" fillId="0" borderId="83" xfId="12" applyFont="1" applyBorder="1" applyAlignment="1" applyProtection="1">
      <alignment vertical="center"/>
      <protection locked="0"/>
    </xf>
    <xf numFmtId="0" fontId="17" fillId="0" borderId="83" xfId="12" applyFont="1" applyBorder="1" applyAlignment="1" applyProtection="1">
      <alignment horizontal="center" vertical="center"/>
      <protection locked="0"/>
    </xf>
    <xf numFmtId="4" fontId="19" fillId="0" borderId="83" xfId="12" applyNumberFormat="1" applyFont="1" applyBorder="1" applyAlignment="1" applyProtection="1">
      <alignment vertical="center"/>
      <protection locked="0"/>
    </xf>
    <xf numFmtId="4" fontId="17" fillId="0" borderId="83" xfId="12" applyNumberFormat="1" applyFont="1" applyBorder="1" applyAlignment="1">
      <alignment horizontal="center"/>
    </xf>
    <xf numFmtId="2" fontId="17" fillId="0" borderId="83" xfId="12" applyNumberFormat="1" applyFont="1" applyBorder="1" applyAlignment="1">
      <alignment horizontal="center"/>
    </xf>
    <xf numFmtId="4" fontId="17" fillId="0" borderId="83" xfId="12" applyNumberFormat="1" applyFont="1" applyFill="1" applyBorder="1" applyAlignment="1">
      <alignment horizontal="center"/>
    </xf>
    <xf numFmtId="10" fontId="17" fillId="0" borderId="83" xfId="12" applyNumberFormat="1" applyFont="1" applyBorder="1" applyAlignment="1">
      <alignment horizontal="center"/>
    </xf>
    <xf numFmtId="4" fontId="17" fillId="0" borderId="83" xfId="12" applyNumberFormat="1" applyFont="1" applyBorder="1"/>
    <xf numFmtId="10" fontId="17" fillId="0" borderId="83" xfId="12" applyNumberFormat="1" applyFont="1" applyBorder="1"/>
    <xf numFmtId="0" fontId="19" fillId="0" borderId="5" xfId="12" applyFont="1" applyBorder="1" applyAlignment="1" applyProtection="1">
      <alignment vertical="center"/>
      <protection locked="0"/>
    </xf>
    <xf numFmtId="0" fontId="13" fillId="0" borderId="5" xfId="12" applyNumberFormat="1" applyFont="1" applyBorder="1" applyAlignment="1">
      <alignment horizontal="left"/>
    </xf>
    <xf numFmtId="4" fontId="13" fillId="0" borderId="5" xfId="12" applyNumberFormat="1" applyFont="1" applyBorder="1"/>
    <xf numFmtId="10" fontId="13" fillId="0" borderId="5" xfId="27" applyNumberFormat="1" applyFont="1" applyBorder="1"/>
    <xf numFmtId="4" fontId="15" fillId="0" borderId="5" xfId="12" applyNumberFormat="1" applyFont="1" applyBorder="1" applyAlignment="1">
      <alignment horizontal="center"/>
    </xf>
    <xf numFmtId="0" fontId="13" fillId="0" borderId="5" xfId="12" applyNumberFormat="1" applyFont="1" applyBorder="1" applyAlignment="1">
      <alignment horizontal="right"/>
    </xf>
    <xf numFmtId="4" fontId="12" fillId="0" borderId="5" xfId="12" applyNumberFormat="1" applyFont="1" applyBorder="1"/>
    <xf numFmtId="4" fontId="11" fillId="0" borderId="5" xfId="12" applyNumberFormat="1" applyFont="1" applyBorder="1" applyAlignment="1">
      <alignment horizontal="center"/>
    </xf>
    <xf numFmtId="4" fontId="12" fillId="0" borderId="5" xfId="12" applyNumberFormat="1" applyFont="1" applyBorder="1" applyAlignment="1">
      <alignment horizontal="center"/>
    </xf>
    <xf numFmtId="0" fontId="15" fillId="0" borderId="5" xfId="12" applyNumberFormat="1" applyFont="1" applyBorder="1" applyAlignment="1">
      <alignment horizontal="center"/>
    </xf>
    <xf numFmtId="0" fontId="15" fillId="0" borderId="5" xfId="12" applyNumberFormat="1" applyFont="1" applyBorder="1" applyAlignment="1">
      <alignment horizontal="center" vertical="center"/>
    </xf>
    <xf numFmtId="0" fontId="15" fillId="0" borderId="5" xfId="12" applyNumberFormat="1" applyFont="1" applyBorder="1"/>
    <xf numFmtId="0" fontId="13" fillId="0" borderId="5" xfId="12" applyNumberFormat="1" applyFont="1" applyBorder="1"/>
    <xf numFmtId="0" fontId="15" fillId="0" borderId="5" xfId="12" applyNumberFormat="1" applyFont="1" applyFill="1" applyBorder="1" applyAlignment="1">
      <alignment horizontal="center"/>
    </xf>
    <xf numFmtId="0" fontId="13" fillId="0" borderId="5" xfId="12" applyNumberFormat="1" applyFont="1" applyBorder="1" applyAlignment="1">
      <alignment horizontal="center"/>
    </xf>
    <xf numFmtId="0" fontId="13" fillId="0" borderId="5" xfId="12" applyNumberFormat="1" applyFont="1" applyFill="1" applyBorder="1" applyAlignment="1">
      <alignment horizontal="right"/>
    </xf>
    <xf numFmtId="0" fontId="16" fillId="0" borderId="5" xfId="12" applyFont="1" applyBorder="1" applyAlignment="1" applyProtection="1">
      <alignment vertical="center"/>
      <protection locked="0"/>
    </xf>
    <xf numFmtId="4" fontId="13" fillId="0" borderId="5" xfId="12" applyNumberFormat="1" applyFont="1" applyBorder="1" applyAlignment="1">
      <alignment horizontal="right"/>
    </xf>
    <xf numFmtId="10" fontId="14" fillId="0" borderId="5" xfId="12" applyNumberFormat="1" applyFont="1" applyFill="1" applyBorder="1" applyAlignment="1">
      <alignment horizontal="center"/>
    </xf>
    <xf numFmtId="10" fontId="21" fillId="0" borderId="5" xfId="12" applyNumberFormat="1" applyFont="1" applyFill="1" applyBorder="1" applyAlignment="1">
      <alignment horizontal="center"/>
    </xf>
    <xf numFmtId="0" fontId="0" fillId="2" borderId="5" xfId="12" applyNumberFormat="1" applyFont="1" applyFill="1" applyBorder="1"/>
    <xf numFmtId="0" fontId="21" fillId="2" borderId="5" xfId="12" applyNumberFormat="1" applyFont="1" applyFill="1" applyBorder="1" applyAlignment="1">
      <alignment horizontal="right"/>
    </xf>
    <xf numFmtId="10" fontId="21" fillId="0" borderId="5" xfId="12" applyNumberFormat="1" applyFont="1" applyFill="1" applyBorder="1" applyAlignment="1">
      <alignment horizontal="right"/>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21" fillId="0" borderId="5" xfId="12" applyNumberFormat="1" applyFont="1" applyBorder="1"/>
    <xf numFmtId="0" fontId="14" fillId="0" borderId="5" xfId="12" applyNumberFormat="1" applyFont="1" applyFill="1" applyBorder="1" applyAlignment="1">
      <alignment horizontal="center"/>
    </xf>
    <xf numFmtId="0" fontId="0" fillId="0" borderId="5" xfId="12" applyNumberFormat="1" applyFont="1" applyBorder="1"/>
    <xf numFmtId="0" fontId="21"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3" fillId="6" borderId="5" xfId="12" applyNumberFormat="1" applyFont="1" applyFill="1" applyBorder="1" applyAlignment="1">
      <alignment horizontal="left"/>
    </xf>
    <xf numFmtId="0" fontId="13" fillId="0" borderId="5" xfId="12" applyNumberFormat="1" applyFont="1" applyFill="1" applyBorder="1" applyAlignment="1"/>
    <xf numFmtId="0" fontId="104" fillId="4" borderId="5" xfId="12" applyNumberFormat="1" applyFont="1" applyFill="1" applyBorder="1" applyAlignment="1">
      <alignment horizontal="center"/>
    </xf>
    <xf numFmtId="0" fontId="14" fillId="4" borderId="5" xfId="12" applyNumberFormat="1" applyFont="1" applyFill="1" applyBorder="1" applyAlignment="1">
      <alignment horizontal="center"/>
    </xf>
    <xf numFmtId="0" fontId="12" fillId="4" borderId="5" xfId="12" applyNumberFormat="1" applyFont="1" applyFill="1" applyBorder="1" applyAlignment="1"/>
    <xf numFmtId="0" fontId="105" fillId="4" borderId="5" xfId="12" applyFont="1" applyFill="1" applyBorder="1" applyAlignment="1" applyProtection="1">
      <alignment horizontal="center" vertical="center"/>
      <protection locked="0"/>
    </xf>
    <xf numFmtId="4" fontId="105" fillId="4" borderId="10" xfId="12" applyNumberFormat="1" applyFont="1" applyFill="1" applyBorder="1" applyAlignment="1" applyProtection="1">
      <alignment horizontal="right" vertical="center"/>
      <protection locked="0"/>
    </xf>
    <xf numFmtId="4" fontId="105" fillId="4" borderId="9" xfId="12" applyNumberFormat="1" applyFont="1" applyFill="1" applyBorder="1" applyAlignment="1" applyProtection="1">
      <alignment horizontal="right" vertical="center"/>
      <protection locked="0"/>
    </xf>
    <xf numFmtId="4" fontId="105" fillId="4" borderId="9" xfId="12" applyNumberFormat="1" applyFont="1" applyFill="1" applyBorder="1" applyAlignment="1" applyProtection="1">
      <alignment vertical="center"/>
      <protection locked="0"/>
    </xf>
    <xf numFmtId="4" fontId="105" fillId="4" borderId="4" xfId="12" applyNumberFormat="1" applyFont="1" applyFill="1" applyBorder="1" applyAlignment="1">
      <alignment horizontal="center"/>
    </xf>
    <xf numFmtId="4" fontId="105" fillId="4" borderId="6" xfId="12" applyNumberFormat="1" applyFont="1" applyFill="1" applyBorder="1" applyAlignment="1" applyProtection="1">
      <alignment horizontal="center" vertical="center"/>
      <protection locked="0"/>
    </xf>
    <xf numFmtId="4" fontId="105" fillId="4" borderId="5" xfId="12" applyNumberFormat="1" applyFont="1" applyFill="1" applyBorder="1" applyAlignment="1" applyProtection="1">
      <alignment horizontal="center" vertical="center"/>
      <protection locked="0"/>
    </xf>
    <xf numFmtId="10" fontId="105" fillId="4" borderId="6" xfId="12" applyNumberFormat="1" applyFont="1" applyFill="1" applyBorder="1" applyAlignment="1">
      <alignment horizontal="center"/>
    </xf>
    <xf numFmtId="4" fontId="105" fillId="4" borderId="4" xfId="12" applyNumberFormat="1" applyFont="1" applyFill="1" applyBorder="1"/>
    <xf numFmtId="4" fontId="105" fillId="4" borderId="5" xfId="12" applyNumberFormat="1" applyFont="1" applyFill="1" applyBorder="1" applyAlignment="1" applyProtection="1">
      <alignment vertical="center"/>
      <protection locked="0"/>
    </xf>
    <xf numFmtId="10" fontId="105" fillId="4" borderId="6" xfId="12" applyNumberFormat="1" applyFont="1" applyFill="1" applyBorder="1"/>
    <xf numFmtId="0" fontId="72" fillId="4" borderId="5" xfId="12" applyFont="1" applyFill="1" applyBorder="1" applyAlignment="1">
      <alignment horizontal="center" vertical="center"/>
    </xf>
    <xf numFmtId="4" fontId="15" fillId="4" borderId="5" xfId="12" applyNumberFormat="1" applyFont="1" applyFill="1" applyBorder="1" applyAlignment="1">
      <alignment horizontal="center"/>
    </xf>
    <xf numFmtId="0" fontId="103" fillId="5" borderId="5" xfId="0" applyFont="1" applyFill="1" applyBorder="1" applyAlignment="1">
      <alignment horizontal="left"/>
    </xf>
    <xf numFmtId="10" fontId="13" fillId="4" borderId="5" xfId="27" applyNumberFormat="1" applyFont="1" applyFill="1" applyBorder="1" applyAlignment="1">
      <alignment horizontal="center"/>
    </xf>
    <xf numFmtId="0" fontId="14" fillId="4" borderId="5" xfId="12" applyNumberFormat="1" applyFont="1" applyFill="1" applyBorder="1" applyAlignment="1"/>
    <xf numFmtId="0" fontId="41" fillId="0" borderId="47" xfId="12" applyFont="1" applyFill="1" applyBorder="1" applyAlignment="1">
      <alignment horizontal="center" vertical="center"/>
    </xf>
    <xf numFmtId="0" fontId="41" fillId="0" borderId="55" xfId="12" applyFont="1" applyFill="1" applyBorder="1" applyAlignment="1">
      <alignment horizontal="left" vertical="center"/>
    </xf>
    <xf numFmtId="49" fontId="41" fillId="0" borderId="46" xfId="12" applyNumberFormat="1" applyFont="1" applyFill="1" applyBorder="1" applyAlignment="1">
      <alignment horizontal="left" vertical="center"/>
    </xf>
    <xf numFmtId="0" fontId="21" fillId="5" borderId="5" xfId="12" applyFont="1" applyFill="1" applyBorder="1" applyAlignment="1">
      <alignment horizontal="center"/>
    </xf>
    <xf numFmtId="4" fontId="41" fillId="0" borderId="25" xfId="12" applyNumberFormat="1" applyFont="1" applyFill="1" applyBorder="1" applyAlignment="1">
      <alignment vertical="center"/>
    </xf>
    <xf numFmtId="10" fontId="21" fillId="0" borderId="69" xfId="29" applyNumberFormat="1" applyFont="1" applyFill="1" applyBorder="1" applyAlignment="1">
      <alignment horizontal="center" vertical="center"/>
    </xf>
    <xf numFmtId="4" fontId="21" fillId="0" borderId="67" xfId="12" applyNumberFormat="1" applyFont="1" applyBorder="1"/>
    <xf numFmtId="4" fontId="21" fillId="0" borderId="67" xfId="12" applyNumberFormat="1" applyFont="1" applyFill="1" applyBorder="1" applyAlignment="1">
      <alignment horizontal="center"/>
    </xf>
    <xf numFmtId="10" fontId="21" fillId="0" borderId="67" xfId="12" applyNumberFormat="1" applyFont="1" applyBorder="1" applyAlignment="1">
      <alignment horizontal="center"/>
    </xf>
    <xf numFmtId="4" fontId="21" fillId="0" borderId="67" xfId="12" applyNumberFormat="1" applyFont="1" applyBorder="1" applyAlignment="1">
      <alignment horizontal="center"/>
    </xf>
    <xf numFmtId="4" fontId="41" fillId="0" borderId="5" xfId="12" applyNumberFormat="1" applyFont="1" applyFill="1" applyBorder="1" applyAlignment="1">
      <alignment vertical="center"/>
    </xf>
    <xf numFmtId="0" fontId="41" fillId="0" borderId="47" xfId="12" applyFont="1" applyFill="1" applyBorder="1" applyAlignment="1">
      <alignment horizontal="center" vertical="center"/>
    </xf>
    <xf numFmtId="0" fontId="21" fillId="5" borderId="5" xfId="12" applyFont="1" applyFill="1" applyBorder="1" applyAlignment="1">
      <alignment horizontal="center"/>
    </xf>
    <xf numFmtId="4" fontId="21" fillId="0" borderId="5" xfId="12" applyNumberFormat="1" applyFont="1" applyBorder="1" applyAlignment="1">
      <alignment horizontal="center"/>
    </xf>
    <xf numFmtId="0" fontId="41" fillId="0" borderId="5" xfId="12" applyNumberFormat="1" applyFont="1" applyBorder="1" applyAlignment="1">
      <alignment horizontal="left"/>
    </xf>
    <xf numFmtId="10" fontId="41" fillId="0" borderId="5" xfId="12" applyNumberFormat="1" applyFont="1" applyBorder="1" applyAlignment="1">
      <alignment horizontal="left"/>
    </xf>
    <xf numFmtId="4" fontId="41" fillId="0" borderId="5" xfId="12" applyNumberFormat="1" applyFont="1" applyBorder="1"/>
    <xf numFmtId="0" fontId="41" fillId="0" borderId="4" xfId="12" applyNumberFormat="1" applyFont="1" applyBorder="1" applyAlignment="1">
      <alignment horizontal="left"/>
    </xf>
    <xf numFmtId="10" fontId="21" fillId="0" borderId="0" xfId="27" applyNumberFormat="1" applyFont="1" applyBorder="1"/>
    <xf numFmtId="0" fontId="41" fillId="0" borderId="44" xfId="12" applyNumberFormat="1" applyFont="1" applyBorder="1" applyAlignment="1">
      <alignment horizontal="left"/>
    </xf>
    <xf numFmtId="0" fontId="41" fillId="0" borderId="25" xfId="12" applyNumberFormat="1" applyFont="1" applyBorder="1" applyAlignment="1">
      <alignment horizontal="left"/>
    </xf>
    <xf numFmtId="10" fontId="41" fillId="0" borderId="25" xfId="12" applyNumberFormat="1" applyFont="1" applyBorder="1" applyAlignment="1">
      <alignment horizontal="left"/>
    </xf>
    <xf numFmtId="4" fontId="41" fillId="0" borderId="25" xfId="12" applyNumberFormat="1" applyFont="1" applyBorder="1"/>
    <xf numFmtId="10" fontId="21" fillId="0" borderId="25" xfId="12" applyNumberFormat="1" applyFont="1" applyBorder="1" applyAlignment="1">
      <alignment horizontal="center"/>
    </xf>
    <xf numFmtId="4" fontId="21" fillId="0" borderId="25" xfId="12" applyNumberFormat="1" applyFont="1" applyBorder="1" applyAlignment="1">
      <alignment horizontal="center"/>
    </xf>
    <xf numFmtId="4" fontId="21" fillId="0" borderId="45" xfId="12" applyNumberFormat="1" applyFont="1" applyBorder="1"/>
    <xf numFmtId="4" fontId="21" fillId="0" borderId="15" xfId="12" applyNumberFormat="1" applyFont="1" applyBorder="1"/>
    <xf numFmtId="10" fontId="21" fillId="0" borderId="15" xfId="27" applyNumberFormat="1" applyFont="1" applyBorder="1"/>
    <xf numFmtId="10" fontId="21" fillId="0" borderId="59" xfId="27" applyNumberFormat="1" applyFont="1" applyBorder="1"/>
    <xf numFmtId="0" fontId="41" fillId="0" borderId="44" xfId="12" applyFont="1" applyFill="1" applyBorder="1" applyAlignment="1">
      <alignment horizontal="center" vertical="center"/>
    </xf>
    <xf numFmtId="0" fontId="41" fillId="0" borderId="25" xfId="12" applyFont="1" applyFill="1" applyBorder="1" applyAlignment="1">
      <alignment horizontal="center" vertical="center"/>
    </xf>
    <xf numFmtId="4" fontId="41" fillId="0" borderId="25" xfId="12" applyNumberFormat="1" applyFont="1" applyFill="1" applyBorder="1" applyAlignment="1">
      <alignment horizontal="center" vertical="center"/>
    </xf>
    <xf numFmtId="10" fontId="41" fillId="0" borderId="25" xfId="29" applyNumberFormat="1" applyFont="1" applyFill="1" applyBorder="1" applyAlignment="1">
      <alignment horizontal="center" vertical="center"/>
    </xf>
    <xf numFmtId="10" fontId="14" fillId="0" borderId="45" xfId="29" applyNumberFormat="1" applyFont="1" applyFill="1" applyBorder="1" applyAlignment="1">
      <alignment horizontal="center" vertical="center"/>
    </xf>
    <xf numFmtId="0" fontId="41" fillId="0" borderId="13" xfId="12" applyNumberFormat="1" applyFont="1" applyBorder="1" applyAlignment="1">
      <alignment horizontal="left"/>
    </xf>
    <xf numFmtId="4" fontId="41" fillId="0" borderId="13" xfId="12" applyNumberFormat="1" applyFont="1" applyBorder="1"/>
    <xf numFmtId="10" fontId="21" fillId="0" borderId="13" xfId="12" applyNumberFormat="1" applyFont="1" applyBorder="1" applyAlignment="1">
      <alignment horizontal="center"/>
    </xf>
    <xf numFmtId="4" fontId="21" fillId="0" borderId="13" xfId="12" applyNumberFormat="1" applyFont="1" applyBorder="1" applyAlignment="1">
      <alignment horizontal="center"/>
    </xf>
    <xf numFmtId="4" fontId="21" fillId="0" borderId="15" xfId="12" applyNumberFormat="1" applyFont="1" applyFill="1" applyBorder="1" applyAlignment="1">
      <alignment horizontal="center"/>
    </xf>
    <xf numFmtId="10" fontId="21" fillId="0" borderId="15" xfId="12" applyNumberFormat="1" applyFont="1" applyBorder="1" applyAlignment="1">
      <alignment horizontal="center"/>
    </xf>
    <xf numFmtId="4" fontId="21" fillId="0" borderId="15" xfId="12" applyNumberFormat="1" applyFont="1" applyBorder="1" applyAlignment="1">
      <alignment horizontal="center"/>
    </xf>
    <xf numFmtId="10" fontId="21" fillId="0" borderId="59" xfId="29" applyNumberFormat="1" applyFont="1" applyFill="1" applyBorder="1" applyAlignment="1">
      <alignment horizontal="center" vertical="center"/>
    </xf>
    <xf numFmtId="49" fontId="15" fillId="7" borderId="31" xfId="0" applyNumberFormat="1" applyFont="1" applyFill="1" applyBorder="1" applyAlignment="1"/>
    <xf numFmtId="0" fontId="39" fillId="7" borderId="10" xfId="12" applyFont="1" applyFill="1" applyBorder="1" applyAlignment="1" applyProtection="1">
      <alignment horizontal="center" vertical="center"/>
      <protection locked="0"/>
    </xf>
    <xf numFmtId="4" fontId="58" fillId="4" borderId="5" xfId="0" applyNumberFormat="1" applyFont="1" applyFill="1" applyBorder="1" applyAlignment="1">
      <alignment horizontal="center"/>
    </xf>
    <xf numFmtId="2" fontId="58" fillId="4" borderId="0" xfId="0" applyNumberFormat="1" applyFont="1" applyFill="1"/>
    <xf numFmtId="4" fontId="57" fillId="4" borderId="5" xfId="0" applyNumberFormat="1" applyFont="1" applyFill="1" applyBorder="1" applyAlignment="1">
      <alignment horizontal="center"/>
    </xf>
    <xf numFmtId="4" fontId="98" fillId="4" borderId="36" xfId="0" applyNumberFormat="1" applyFont="1" applyFill="1" applyBorder="1" applyAlignment="1">
      <alignment horizontal="center"/>
    </xf>
    <xf numFmtId="0" fontId="98" fillId="4" borderId="84" xfId="0" applyFont="1" applyFill="1" applyBorder="1" applyAlignment="1">
      <alignment horizontal="center"/>
    </xf>
    <xf numFmtId="4" fontId="57" fillId="4" borderId="17" xfId="0" applyNumberFormat="1" applyFont="1" applyFill="1" applyBorder="1" applyAlignment="1">
      <alignment horizontal="center"/>
    </xf>
    <xf numFmtId="0" fontId="56" fillId="4" borderId="5" xfId="0" applyFont="1" applyFill="1" applyBorder="1"/>
    <xf numFmtId="0" fontId="98" fillId="4" borderId="5" xfId="0" applyFont="1" applyFill="1" applyBorder="1" applyAlignment="1">
      <alignment horizontal="center" vertical="top"/>
    </xf>
    <xf numFmtId="4" fontId="56" fillId="4" borderId="5" xfId="0" applyNumberFormat="1" applyFont="1" applyFill="1" applyBorder="1"/>
    <xf numFmtId="0" fontId="102" fillId="4" borderId="5" xfId="0" applyFont="1" applyFill="1" applyBorder="1"/>
    <xf numFmtId="0" fontId="98" fillId="4" borderId="5" xfId="0" applyFont="1" applyFill="1" applyBorder="1" applyAlignment="1">
      <alignment horizontal="center"/>
    </xf>
    <xf numFmtId="0" fontId="56" fillId="4" borderId="5" xfId="0" applyFont="1" applyFill="1" applyBorder="1" applyAlignment="1">
      <alignment horizontal="center"/>
    </xf>
    <xf numFmtId="0" fontId="102" fillId="4" borderId="5" xfId="0" applyFont="1" applyFill="1" applyBorder="1" applyAlignment="1">
      <alignment horizontal="center"/>
    </xf>
    <xf numFmtId="0" fontId="107" fillId="0" borderId="0" xfId="12" applyFont="1" applyAlignment="1">
      <alignment horizontal="center" vertical="center"/>
    </xf>
    <xf numFmtId="0" fontId="107" fillId="0" borderId="4" xfId="12" applyFont="1" applyBorder="1" applyAlignment="1">
      <alignment horizontal="center" vertical="center"/>
    </xf>
    <xf numFmtId="0" fontId="107" fillId="0" borderId="5" xfId="12" applyFont="1" applyBorder="1" applyAlignment="1">
      <alignment horizontal="center" vertical="center"/>
    </xf>
    <xf numFmtId="0" fontId="107" fillId="0" borderId="6" xfId="12" applyFont="1" applyBorder="1" applyAlignment="1">
      <alignment horizontal="center" vertical="center"/>
    </xf>
    <xf numFmtId="0" fontId="107" fillId="0" borderId="4" xfId="12" applyFont="1" applyFill="1" applyBorder="1" applyAlignment="1">
      <alignment horizontal="center" vertical="center"/>
    </xf>
    <xf numFmtId="0" fontId="107" fillId="0" borderId="5" xfId="12" applyFont="1" applyFill="1" applyBorder="1" applyAlignment="1">
      <alignment horizontal="center" vertical="center"/>
    </xf>
    <xf numFmtId="167" fontId="107" fillId="0" borderId="6" xfId="12" applyNumberFormat="1" applyFont="1" applyBorder="1" applyAlignment="1">
      <alignment horizontal="center" vertical="center"/>
    </xf>
    <xf numFmtId="0" fontId="107" fillId="0" borderId="6" xfId="12" applyFont="1" applyBorder="1" applyAlignment="1">
      <alignment horizontal="center" vertical="center" wrapText="1"/>
    </xf>
    <xf numFmtId="0" fontId="75" fillId="4" borderId="0" xfId="12" applyFont="1" applyFill="1" applyBorder="1" applyAlignment="1">
      <alignment vertical="top" wrapText="1"/>
    </xf>
    <xf numFmtId="0" fontId="111" fillId="0" borderId="0" xfId="12" applyFont="1" applyFill="1" applyAlignment="1">
      <alignment horizontal="center" vertical="center"/>
    </xf>
    <xf numFmtId="0" fontId="112" fillId="0" borderId="0" xfId="12" applyFont="1" applyAlignment="1">
      <alignment vertical="center"/>
    </xf>
    <xf numFmtId="0" fontId="111" fillId="0" borderId="0" xfId="12" applyFont="1" applyBorder="1" applyAlignment="1">
      <alignment horizontal="right" vertical="center"/>
    </xf>
    <xf numFmtId="0" fontId="111" fillId="0" borderId="0" xfId="12" applyFont="1" applyFill="1" applyBorder="1" applyAlignment="1">
      <alignment horizontal="center" vertical="center"/>
    </xf>
    <xf numFmtId="0" fontId="111" fillId="0" borderId="0" xfId="12" applyFont="1" applyFill="1" applyAlignment="1">
      <alignment horizontal="right" vertical="center"/>
    </xf>
    <xf numFmtId="0" fontId="111" fillId="0" borderId="0" xfId="12" applyFont="1" applyAlignment="1">
      <alignment horizontal="right" vertical="center"/>
    </xf>
    <xf numFmtId="0" fontId="111" fillId="0" borderId="0" xfId="12" applyFont="1" applyFill="1" applyAlignment="1">
      <alignment vertical="center"/>
    </xf>
    <xf numFmtId="0" fontId="112" fillId="0" borderId="0" xfId="12" applyFont="1" applyFill="1" applyAlignment="1">
      <alignment horizontal="center" vertical="center"/>
    </xf>
    <xf numFmtId="0" fontId="111" fillId="0" borderId="0" xfId="12" applyFont="1" applyFill="1"/>
    <xf numFmtId="0" fontId="111" fillId="0" borderId="0" xfId="12" applyFont="1" applyAlignment="1">
      <alignment horizontal="left" vertical="center"/>
    </xf>
    <xf numFmtId="0" fontId="111" fillId="0" borderId="0" xfId="12" quotePrefix="1" applyFont="1" applyAlignment="1">
      <alignment horizontal="center" vertical="center"/>
    </xf>
    <xf numFmtId="0" fontId="111" fillId="9" borderId="0" xfId="12" applyFont="1" applyFill="1" applyBorder="1" applyAlignment="1">
      <alignment vertical="center"/>
    </xf>
    <xf numFmtId="0" fontId="111" fillId="9" borderId="0" xfId="12" applyFont="1" applyFill="1" applyBorder="1" applyAlignment="1">
      <alignment horizontal="center" vertical="center"/>
    </xf>
    <xf numFmtId="166" fontId="111" fillId="9" borderId="0" xfId="12" applyNumberFormat="1" applyFont="1" applyFill="1" applyBorder="1" applyAlignment="1">
      <alignment horizontal="center" vertical="center"/>
    </xf>
    <xf numFmtId="0" fontId="111" fillId="0" borderId="0" xfId="12" applyFont="1" applyFill="1" applyBorder="1" applyAlignment="1">
      <alignment vertical="center"/>
    </xf>
    <xf numFmtId="166" fontId="111" fillId="0" borderId="0" xfId="12" applyNumberFormat="1" applyFont="1" applyFill="1" applyBorder="1" applyAlignment="1">
      <alignment horizontal="center" vertical="center"/>
    </xf>
    <xf numFmtId="0" fontId="111" fillId="9" borderId="0" xfId="12" applyFont="1" applyFill="1" applyBorder="1"/>
    <xf numFmtId="0" fontId="112" fillId="0" borderId="0" xfId="12" applyFont="1" applyFill="1" applyBorder="1" applyAlignment="1">
      <alignment horizontal="center" vertical="center"/>
    </xf>
    <xf numFmtId="49" fontId="15" fillId="7" borderId="31" xfId="0" applyNumberFormat="1" applyFont="1" applyFill="1" applyBorder="1"/>
    <xf numFmtId="49" fontId="15" fillId="7" borderId="64" xfId="0" applyNumberFormat="1" applyFont="1" applyFill="1" applyBorder="1"/>
    <xf numFmtId="0" fontId="58" fillId="4" borderId="5" xfId="0" applyFont="1" applyFill="1" applyBorder="1" applyAlignment="1">
      <alignment horizontal="center"/>
    </xf>
    <xf numFmtId="0" fontId="57" fillId="4" borderId="5" xfId="0" applyFont="1" applyFill="1" applyBorder="1" applyAlignment="1">
      <alignment horizontal="center"/>
    </xf>
    <xf numFmtId="49" fontId="15" fillId="6" borderId="31" xfId="0" applyNumberFormat="1" applyFont="1" applyFill="1" applyBorder="1" applyAlignment="1"/>
    <xf numFmtId="4" fontId="100" fillId="4" borderId="9" xfId="0" applyNumberFormat="1" applyFont="1" applyFill="1" applyBorder="1" applyAlignment="1">
      <alignment horizontal="center"/>
    </xf>
    <xf numFmtId="0" fontId="99" fillId="4" borderId="5" xfId="0" applyFont="1" applyFill="1" applyBorder="1" applyAlignment="1">
      <alignment horizontal="center"/>
    </xf>
    <xf numFmtId="4" fontId="41" fillId="0" borderId="13" xfId="12" applyNumberFormat="1" applyFont="1" applyFill="1" applyBorder="1" applyAlignment="1">
      <alignment horizontal="center" vertical="center"/>
    </xf>
    <xf numFmtId="0" fontId="15" fillId="4" borderId="1" xfId="12" applyFont="1" applyFill="1" applyBorder="1" applyAlignment="1">
      <alignment horizontal="center" vertical="center"/>
    </xf>
    <xf numFmtId="49" fontId="68" fillId="4" borderId="31" xfId="0" applyNumberFormat="1" applyFont="1" applyFill="1" applyBorder="1" applyAlignment="1"/>
    <xf numFmtId="2" fontId="15" fillId="4" borderId="4" xfId="12"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10" fontId="14" fillId="0" borderId="48" xfId="29" applyNumberFormat="1" applyFont="1" applyFill="1" applyBorder="1" applyAlignment="1">
      <alignment horizontal="center" vertical="center"/>
    </xf>
    <xf numFmtId="4" fontId="41" fillId="0" borderId="9" xfId="12" applyNumberFormat="1" applyFont="1" applyFill="1" applyBorder="1" applyAlignment="1">
      <alignment vertical="center"/>
    </xf>
    <xf numFmtId="10" fontId="14" fillId="0" borderId="6" xfId="29" applyNumberFormat="1" applyFont="1" applyFill="1" applyBorder="1" applyAlignment="1">
      <alignment vertical="center"/>
    </xf>
    <xf numFmtId="0" fontId="21" fillId="4" borderId="0" xfId="12" applyNumberFormat="1" applyFont="1" applyFill="1" applyBorder="1" applyAlignment="1">
      <alignment horizontal="left"/>
    </xf>
    <xf numFmtId="10" fontId="21" fillId="4" borderId="0" xfId="12" applyNumberFormat="1" applyFont="1" applyFill="1" applyBorder="1" applyAlignment="1">
      <alignment horizontal="center"/>
    </xf>
    <xf numFmtId="4" fontId="21" fillId="5" borderId="16" xfId="12" applyNumberFormat="1" applyFont="1" applyFill="1" applyBorder="1" applyAlignment="1">
      <alignment horizontal="center" vertical="center"/>
    </xf>
    <xf numFmtId="4" fontId="21" fillId="5" borderId="68" xfId="12" applyNumberFormat="1" applyFont="1" applyFill="1" applyBorder="1" applyAlignment="1">
      <alignment horizontal="center"/>
    </xf>
    <xf numFmtId="10" fontId="41" fillId="4" borderId="13" xfId="12" applyNumberFormat="1" applyFont="1" applyFill="1" applyBorder="1" applyAlignment="1">
      <alignment horizontal="left"/>
    </xf>
    <xf numFmtId="10" fontId="41" fillId="4" borderId="5" xfId="12" applyNumberFormat="1" applyFont="1" applyFill="1" applyBorder="1" applyAlignment="1">
      <alignment horizontal="left"/>
    </xf>
    <xf numFmtId="10" fontId="14" fillId="0" borderId="0" xfId="12" applyNumberFormat="1" applyFont="1" applyFill="1"/>
    <xf numFmtId="166" fontId="112" fillId="4" borderId="0" xfId="12" applyNumberFormat="1" applyFont="1" applyFill="1" applyBorder="1" applyAlignment="1">
      <alignment horizontal="center" vertical="center"/>
    </xf>
    <xf numFmtId="164" fontId="112" fillId="4" borderId="0" xfId="12" applyNumberFormat="1" applyFont="1" applyFill="1" applyBorder="1" applyAlignment="1">
      <alignment horizontal="center" vertical="center"/>
    </xf>
    <xf numFmtId="49" fontId="15" fillId="14" borderId="60" xfId="0" applyNumberFormat="1" applyFont="1" applyFill="1" applyBorder="1"/>
    <xf numFmtId="49" fontId="15" fillId="14" borderId="38" xfId="0" applyNumberFormat="1" applyFont="1" applyFill="1" applyBorder="1"/>
    <xf numFmtId="49" fontId="15" fillId="14" borderId="36" xfId="0" applyNumberFormat="1" applyFont="1" applyFill="1" applyBorder="1"/>
    <xf numFmtId="49" fontId="15" fillId="14" borderId="31" xfId="0" applyNumberFormat="1" applyFont="1" applyFill="1" applyBorder="1"/>
    <xf numFmtId="49" fontId="15" fillId="14" borderId="31" xfId="0" applyNumberFormat="1" applyFont="1" applyFill="1" applyBorder="1" applyAlignment="1"/>
    <xf numFmtId="49" fontId="15" fillId="7" borderId="36" xfId="0" applyNumberFormat="1" applyFont="1" applyFill="1" applyBorder="1"/>
    <xf numFmtId="49" fontId="15" fillId="7" borderId="31" xfId="0" applyNumberFormat="1" applyFont="1" applyFill="1" applyBorder="1" applyAlignment="1">
      <alignment horizontal="left"/>
    </xf>
    <xf numFmtId="49" fontId="15" fillId="7" borderId="42" xfId="0" applyNumberFormat="1" applyFont="1" applyFill="1" applyBorder="1"/>
    <xf numFmtId="49" fontId="15" fillId="14" borderId="42" xfId="0" applyNumberFormat="1" applyFont="1" applyFill="1" applyBorder="1"/>
    <xf numFmtId="49" fontId="15" fillId="14" borderId="64" xfId="0" applyNumberFormat="1" applyFont="1" applyFill="1" applyBorder="1"/>
    <xf numFmtId="4" fontId="98" fillId="7" borderId="5" xfId="0" applyNumberFormat="1" applyFont="1" applyFill="1" applyBorder="1" applyAlignment="1">
      <alignment horizontal="center"/>
    </xf>
    <xf numFmtId="4" fontId="56" fillId="7" borderId="5" xfId="0" applyNumberFormat="1" applyFont="1" applyFill="1" applyBorder="1" applyAlignment="1">
      <alignment horizontal="center"/>
    </xf>
    <xf numFmtId="4" fontId="99" fillId="7" borderId="5" xfId="0" applyNumberFormat="1" applyFont="1" applyFill="1" applyBorder="1" applyAlignment="1">
      <alignment horizontal="center"/>
    </xf>
    <xf numFmtId="0" fontId="56" fillId="7" borderId="5" xfId="0" applyFont="1" applyFill="1" applyBorder="1" applyAlignment="1">
      <alignment horizontal="center"/>
    </xf>
    <xf numFmtId="4" fontId="56" fillId="7" borderId="5" xfId="0" applyNumberFormat="1" applyFont="1" applyFill="1" applyBorder="1"/>
    <xf numFmtId="0" fontId="56" fillId="7" borderId="0" xfId="0" applyFont="1" applyFill="1"/>
    <xf numFmtId="4" fontId="102" fillId="7" borderId="5" xfId="0" applyNumberFormat="1" applyFont="1" applyFill="1" applyBorder="1" applyAlignment="1">
      <alignment horizontal="center"/>
    </xf>
    <xf numFmtId="0" fontId="102" fillId="7" borderId="5" xfId="0" applyFont="1" applyFill="1" applyBorder="1" applyAlignment="1">
      <alignment horizontal="center"/>
    </xf>
    <xf numFmtId="0" fontId="102" fillId="7" borderId="0" xfId="0" applyFont="1" applyFill="1"/>
    <xf numFmtId="4" fontId="98" fillId="4" borderId="0" xfId="0" applyNumberFormat="1" applyFont="1" applyFill="1" applyBorder="1" applyAlignment="1">
      <alignment horizontal="center"/>
    </xf>
    <xf numFmtId="0" fontId="98" fillId="7" borderId="0" xfId="0" applyFont="1" applyFill="1"/>
    <xf numFmtId="0" fontId="98" fillId="7" borderId="18" xfId="0" applyFont="1" applyFill="1" applyBorder="1" applyAlignment="1">
      <alignment horizontal="center"/>
    </xf>
    <xf numFmtId="0" fontId="56" fillId="7" borderId="16" xfId="0" applyFont="1" applyFill="1" applyBorder="1" applyAlignment="1">
      <alignment horizontal="center" vertical="top"/>
    </xf>
    <xf numFmtId="4" fontId="102" fillId="7" borderId="2" xfId="0" applyNumberFormat="1" applyFont="1" applyFill="1" applyBorder="1" applyAlignment="1">
      <alignment horizontal="center"/>
    </xf>
    <xf numFmtId="4" fontId="58" fillId="7" borderId="5" xfId="0" applyNumberFormat="1" applyFont="1" applyFill="1" applyBorder="1" applyAlignment="1">
      <alignment horizontal="center"/>
    </xf>
    <xf numFmtId="4" fontId="99"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114" fillId="4" borderId="4" xfId="0" applyNumberFormat="1" applyFont="1" applyFill="1" applyBorder="1" applyAlignment="1">
      <alignment horizontal="center"/>
    </xf>
    <xf numFmtId="4" fontId="56" fillId="7" borderId="4" xfId="0" applyNumberFormat="1" applyFont="1" applyFill="1" applyBorder="1" applyAlignment="1">
      <alignment horizontal="center"/>
    </xf>
    <xf numFmtId="4" fontId="99" fillId="7" borderId="57" xfId="0" applyNumberFormat="1" applyFont="1" applyFill="1" applyBorder="1" applyAlignment="1">
      <alignment horizontal="center"/>
    </xf>
    <xf numFmtId="4" fontId="98" fillId="7" borderId="9" xfId="0" applyNumberFormat="1" applyFont="1" applyFill="1" applyBorder="1" applyAlignment="1">
      <alignment horizontal="center"/>
    </xf>
    <xf numFmtId="0" fontId="39" fillId="4" borderId="5" xfId="12" applyFont="1" applyFill="1" applyBorder="1" applyAlignment="1" applyProtection="1">
      <alignment horizontal="center" vertical="center"/>
      <protection locked="0"/>
    </xf>
    <xf numFmtId="0" fontId="39" fillId="4" borderId="25" xfId="12" applyFont="1" applyFill="1" applyBorder="1" applyAlignment="1" applyProtection="1">
      <alignment horizontal="center" vertical="center"/>
      <protection locked="0"/>
    </xf>
    <xf numFmtId="4" fontId="56" fillId="4" borderId="25" xfId="0" applyNumberFormat="1" applyFont="1" applyFill="1" applyBorder="1" applyAlignment="1">
      <alignment horizontal="center"/>
    </xf>
    <xf numFmtId="4" fontId="56" fillId="7" borderId="25" xfId="0" applyNumberFormat="1" applyFont="1" applyFill="1" applyBorder="1" applyAlignment="1">
      <alignment horizontal="center"/>
    </xf>
    <xf numFmtId="4" fontId="98" fillId="4" borderId="25" xfId="0" applyNumberFormat="1" applyFont="1" applyFill="1" applyBorder="1" applyAlignment="1">
      <alignment horizontal="center"/>
    </xf>
    <xf numFmtId="4" fontId="98" fillId="7" borderId="25" xfId="0" applyNumberFormat="1" applyFont="1" applyFill="1" applyBorder="1" applyAlignment="1">
      <alignment horizontal="center"/>
    </xf>
    <xf numFmtId="49" fontId="15" fillId="4" borderId="5" xfId="0" applyNumberFormat="1" applyFont="1" applyFill="1" applyBorder="1" applyAlignment="1"/>
    <xf numFmtId="0" fontId="57" fillId="4" borderId="5" xfId="0" applyFont="1" applyFill="1" applyBorder="1" applyAlignment="1">
      <alignment horizontal="left"/>
    </xf>
    <xf numFmtId="0" fontId="98" fillId="4" borderId="5" xfId="0" applyFont="1" applyFill="1" applyBorder="1" applyAlignment="1"/>
    <xf numFmtId="4" fontId="101" fillId="4" borderId="5" xfId="0" applyNumberFormat="1" applyFont="1" applyFill="1" applyBorder="1" applyAlignment="1">
      <alignment horizontal="center"/>
    </xf>
    <xf numFmtId="0" fontId="99" fillId="7" borderId="0" xfId="0" applyFont="1" applyFill="1"/>
    <xf numFmtId="4" fontId="99" fillId="7" borderId="9" xfId="0" applyNumberFormat="1" applyFont="1" applyFill="1" applyBorder="1" applyAlignment="1">
      <alignment horizontal="center"/>
    </xf>
    <xf numFmtId="4" fontId="56" fillId="4" borderId="9" xfId="0" applyNumberFormat="1" applyFont="1" applyFill="1" applyBorder="1" applyAlignment="1">
      <alignment horizontal="center"/>
    </xf>
    <xf numFmtId="4" fontId="56" fillId="4" borderId="10" xfId="0" applyNumberFormat="1" applyFont="1" applyFill="1" applyBorder="1" applyAlignment="1">
      <alignment horizontal="center"/>
    </xf>
    <xf numFmtId="49" fontId="15" fillId="4" borderId="10" xfId="0" applyNumberFormat="1" applyFont="1" applyFill="1" applyBorder="1"/>
    <xf numFmtId="4" fontId="56" fillId="4" borderId="9" xfId="0" applyNumberFormat="1" applyFont="1" applyFill="1" applyBorder="1" applyAlignment="1">
      <alignment horizontal="center" vertical="center"/>
    </xf>
    <xf numFmtId="0" fontId="99" fillId="15" borderId="0" xfId="0" applyFont="1" applyFill="1"/>
    <xf numFmtId="0" fontId="98" fillId="15" borderId="18" xfId="0" applyFont="1" applyFill="1" applyBorder="1" applyAlignment="1">
      <alignment horizontal="center"/>
    </xf>
    <xf numFmtId="0" fontId="56" fillId="15" borderId="16" xfId="0" applyFont="1" applyFill="1" applyBorder="1" applyAlignment="1">
      <alignment horizontal="center" vertical="top"/>
    </xf>
    <xf numFmtId="4" fontId="99" fillId="15" borderId="9" xfId="0" applyNumberFormat="1" applyFont="1" applyFill="1" applyBorder="1" applyAlignment="1">
      <alignment horizontal="center"/>
    </xf>
    <xf numFmtId="4" fontId="57" fillId="15" borderId="5" xfId="0" applyNumberFormat="1" applyFont="1" applyFill="1" applyBorder="1" applyAlignment="1">
      <alignment horizontal="center"/>
    </xf>
    <xf numFmtId="4" fontId="56" fillId="15" borderId="9" xfId="0" applyNumberFormat="1" applyFont="1" applyFill="1" applyBorder="1" applyAlignment="1">
      <alignment horizontal="center"/>
    </xf>
    <xf numFmtId="49" fontId="15" fillId="7" borderId="10" xfId="0" applyNumberFormat="1" applyFont="1" applyFill="1" applyBorder="1"/>
    <xf numFmtId="0" fontId="98" fillId="4" borderId="5" xfId="0" applyFont="1" applyFill="1" applyBorder="1" applyAlignment="1">
      <alignment horizontal="center" vertical="center"/>
    </xf>
    <xf numFmtId="0" fontId="100" fillId="15" borderId="18" xfId="0" applyFont="1" applyFill="1" applyBorder="1" applyAlignment="1">
      <alignment horizontal="center"/>
    </xf>
    <xf numFmtId="0" fontId="101" fillId="15" borderId="16" xfId="0" applyFont="1" applyFill="1" applyBorder="1" applyAlignment="1">
      <alignment horizontal="center" vertical="top"/>
    </xf>
    <xf numFmtId="4" fontId="56" fillId="15" borderId="4" xfId="0" applyNumberFormat="1" applyFont="1" applyFill="1" applyBorder="1" applyAlignment="1">
      <alignment horizontal="center"/>
    </xf>
    <xf numFmtId="4" fontId="98" fillId="15" borderId="5" xfId="0" applyNumberFormat="1" applyFont="1" applyFill="1" applyBorder="1" applyAlignment="1">
      <alignment horizontal="center"/>
    </xf>
    <xf numFmtId="4" fontId="98" fillId="15" borderId="25" xfId="0" applyNumberFormat="1" applyFont="1" applyFill="1" applyBorder="1" applyAlignment="1">
      <alignment horizontal="center"/>
    </xf>
    <xf numFmtId="4" fontId="100" fillId="15" borderId="9" xfId="0" applyNumberFormat="1" applyFont="1" applyFill="1" applyBorder="1" applyAlignment="1">
      <alignment horizontal="center"/>
    </xf>
    <xf numFmtId="0" fontId="56" fillId="7" borderId="5" xfId="0" applyFont="1" applyFill="1" applyBorder="1"/>
    <xf numFmtId="0" fontId="57" fillId="4" borderId="0" xfId="0" applyFont="1" applyFill="1" applyAlignment="1">
      <alignment horizontal="center"/>
    </xf>
    <xf numFmtId="49" fontId="15" fillId="12" borderId="60" xfId="0" applyNumberFormat="1" applyFont="1" applyFill="1" applyBorder="1"/>
    <xf numFmtId="49" fontId="15" fillId="12" borderId="38" xfId="0" applyNumberFormat="1" applyFont="1" applyFill="1" applyBorder="1"/>
    <xf numFmtId="0" fontId="14" fillId="12" borderId="40" xfId="12" applyFont="1" applyFill="1" applyBorder="1" applyAlignment="1">
      <alignment horizontal="center" vertical="center"/>
    </xf>
    <xf numFmtId="4" fontId="102" fillId="12" borderId="1" xfId="0" applyNumberFormat="1" applyFont="1" applyFill="1" applyBorder="1" applyAlignment="1">
      <alignment horizontal="center"/>
    </xf>
    <xf numFmtId="4" fontId="102" fillId="12" borderId="2" xfId="0" applyNumberFormat="1" applyFont="1" applyFill="1" applyBorder="1" applyAlignment="1">
      <alignment horizontal="center"/>
    </xf>
    <xf numFmtId="4" fontId="99" fillId="12" borderId="2" xfId="0" applyNumberFormat="1" applyFont="1" applyFill="1" applyBorder="1" applyAlignment="1">
      <alignment horizontal="center"/>
    </xf>
    <xf numFmtId="4" fontId="99" fillId="12" borderId="57" xfId="0" applyNumberFormat="1" applyFont="1" applyFill="1" applyBorder="1" applyAlignment="1">
      <alignment horizontal="center"/>
    </xf>
    <xf numFmtId="4" fontId="99" fillId="12" borderId="9" xfId="0" applyNumberFormat="1" applyFont="1" applyFill="1" applyBorder="1" applyAlignment="1">
      <alignment horizontal="center"/>
    </xf>
    <xf numFmtId="4" fontId="98" fillId="12" borderId="31" xfId="0" applyNumberFormat="1" applyFont="1" applyFill="1" applyBorder="1" applyAlignment="1">
      <alignment horizontal="center"/>
    </xf>
    <xf numFmtId="4" fontId="98" fillId="7" borderId="36" xfId="0" applyNumberFormat="1" applyFont="1" applyFill="1" applyBorder="1" applyAlignment="1">
      <alignment horizontal="center"/>
    </xf>
    <xf numFmtId="4" fontId="98" fillId="7" borderId="31" xfId="0" applyNumberFormat="1" applyFont="1" applyFill="1" applyBorder="1" applyAlignment="1">
      <alignment horizontal="center"/>
    </xf>
    <xf numFmtId="49" fontId="15" fillId="0" borderId="17" xfId="0" applyNumberFormat="1" applyFont="1" applyBorder="1"/>
    <xf numFmtId="4" fontId="99" fillId="4" borderId="10" xfId="0" applyNumberFormat="1" applyFont="1" applyFill="1" applyBorder="1" applyAlignment="1">
      <alignment horizontal="center"/>
    </xf>
    <xf numFmtId="4" fontId="98" fillId="4" borderId="10" xfId="0" applyNumberFormat="1" applyFont="1" applyFill="1" applyBorder="1" applyAlignment="1">
      <alignment horizontal="center"/>
    </xf>
    <xf numFmtId="0" fontId="99" fillId="4" borderId="51" xfId="0" applyFont="1" applyFill="1" applyBorder="1" applyAlignment="1">
      <alignment horizontal="center"/>
    </xf>
    <xf numFmtId="0" fontId="72" fillId="4" borderId="9" xfId="12" applyFont="1" applyFill="1" applyBorder="1" applyAlignment="1">
      <alignment horizontal="center" vertical="center"/>
    </xf>
    <xf numFmtId="0" fontId="15" fillId="4" borderId="26" xfId="12" applyFont="1" applyFill="1" applyBorder="1" applyAlignment="1">
      <alignment horizontal="center" vertical="center"/>
    </xf>
    <xf numFmtId="0" fontId="98" fillId="4" borderId="68" xfId="0" applyFont="1" applyFill="1" applyBorder="1" applyAlignment="1">
      <alignment horizontal="center"/>
    </xf>
    <xf numFmtId="0" fontId="98" fillId="4" borderId="52" xfId="0" applyFont="1" applyFill="1" applyBorder="1" applyAlignment="1">
      <alignment horizontal="center"/>
    </xf>
    <xf numFmtId="0" fontId="98" fillId="7" borderId="68" xfId="0" applyFont="1" applyFill="1" applyBorder="1" applyAlignment="1">
      <alignment horizontal="center"/>
    </xf>
    <xf numFmtId="4" fontId="56" fillId="7" borderId="9" xfId="0" applyNumberFormat="1" applyFont="1" applyFill="1" applyBorder="1" applyAlignment="1">
      <alignment horizontal="center"/>
    </xf>
    <xf numFmtId="0" fontId="99" fillId="7" borderId="51" xfId="0" applyFont="1" applyFill="1" applyBorder="1" applyAlignment="1">
      <alignment horizontal="center"/>
    </xf>
    <xf numFmtId="0" fontId="99" fillId="7" borderId="5" xfId="0" applyFont="1" applyFill="1" applyBorder="1" applyAlignment="1">
      <alignment horizontal="center"/>
    </xf>
    <xf numFmtId="0" fontId="100" fillId="15" borderId="0" xfId="0" applyFont="1" applyFill="1"/>
    <xf numFmtId="0" fontId="101" fillId="15" borderId="0" xfId="0" applyFont="1" applyFill="1"/>
    <xf numFmtId="4" fontId="101" fillId="15" borderId="9" xfId="0" applyNumberFormat="1" applyFont="1" applyFill="1" applyBorder="1" applyAlignment="1">
      <alignment horizontal="center"/>
    </xf>
    <xf numFmtId="4" fontId="100" fillId="15" borderId="5" xfId="0" applyNumberFormat="1" applyFont="1" applyFill="1" applyBorder="1" applyAlignment="1">
      <alignment horizontal="center"/>
    </xf>
    <xf numFmtId="0" fontId="100" fillId="15" borderId="51" xfId="0" applyFont="1" applyFill="1" applyBorder="1" applyAlignment="1">
      <alignment horizontal="center"/>
    </xf>
    <xf numFmtId="0" fontId="100" fillId="15" borderId="5" xfId="0" applyFont="1" applyFill="1" applyBorder="1" applyAlignment="1">
      <alignment horizontal="center"/>
    </xf>
    <xf numFmtId="0" fontId="98" fillId="7" borderId="5" xfId="0" applyFont="1" applyFill="1" applyBorder="1" applyAlignment="1">
      <alignment horizontal="center"/>
    </xf>
    <xf numFmtId="0" fontId="98" fillId="7" borderId="5" xfId="0" applyFont="1" applyFill="1" applyBorder="1"/>
    <xf numFmtId="0" fontId="99" fillId="7" borderId="5" xfId="0" applyFont="1" applyFill="1" applyBorder="1"/>
    <xf numFmtId="4" fontId="99" fillId="15" borderId="57" xfId="0" applyNumberFormat="1" applyFont="1" applyFill="1" applyBorder="1" applyAlignment="1">
      <alignment horizontal="center"/>
    </xf>
    <xf numFmtId="0" fontId="56" fillId="15" borderId="0" xfId="0" applyFont="1" applyFill="1"/>
    <xf numFmtId="0" fontId="99" fillId="15" borderId="5" xfId="0" applyFont="1" applyFill="1" applyBorder="1" applyAlignment="1">
      <alignment horizontal="center"/>
    </xf>
    <xf numFmtId="4" fontId="99" fillId="15" borderId="5" xfId="0" applyNumberFormat="1" applyFont="1" applyFill="1" applyBorder="1" applyAlignment="1">
      <alignment horizontal="center"/>
    </xf>
    <xf numFmtId="49" fontId="15" fillId="7" borderId="36" xfId="0" applyNumberFormat="1" applyFont="1" applyFill="1" applyBorder="1" applyAlignment="1">
      <alignment horizontal="left"/>
    </xf>
    <xf numFmtId="49" fontId="15" fillId="7" borderId="36" xfId="0" applyNumberFormat="1" applyFont="1" applyFill="1" applyBorder="1" applyAlignment="1"/>
    <xf numFmtId="49" fontId="73" fillId="7" borderId="31" xfId="0" applyNumberFormat="1" applyFont="1" applyFill="1" applyBorder="1" applyAlignment="1"/>
    <xf numFmtId="49" fontId="73" fillId="7" borderId="36" xfId="0" applyNumberFormat="1" applyFont="1" applyFill="1" applyBorder="1" applyAlignment="1"/>
    <xf numFmtId="49" fontId="70" fillId="7" borderId="60" xfId="0" applyNumberFormat="1" applyFont="1" applyFill="1" applyBorder="1"/>
    <xf numFmtId="0" fontId="15" fillId="7" borderId="13" xfId="12" applyFont="1" applyFill="1" applyBorder="1" applyAlignment="1">
      <alignment horizontal="center" vertical="center"/>
    </xf>
    <xf numFmtId="4" fontId="102" fillId="7" borderId="1" xfId="0" applyNumberFormat="1" applyFont="1" applyFill="1" applyBorder="1" applyAlignment="1">
      <alignment horizontal="center"/>
    </xf>
    <xf numFmtId="4" fontId="99" fillId="7" borderId="10" xfId="0" applyNumberFormat="1" applyFont="1" applyFill="1" applyBorder="1" applyAlignment="1">
      <alignment horizontal="center"/>
    </xf>
    <xf numFmtId="0" fontId="102" fillId="7" borderId="5" xfId="0" applyFont="1" applyFill="1" applyBorder="1"/>
    <xf numFmtId="49" fontId="15" fillId="7" borderId="5" xfId="0" applyNumberFormat="1" applyFont="1" applyFill="1" applyBorder="1" applyAlignment="1">
      <alignment horizontal="center"/>
    </xf>
    <xf numFmtId="0" fontId="17" fillId="7" borderId="5" xfId="12" applyFont="1" applyFill="1" applyBorder="1" applyAlignment="1" applyProtection="1">
      <alignment horizontal="center" vertical="center"/>
      <protection locked="0"/>
    </xf>
    <xf numFmtId="0" fontId="15" fillId="7" borderId="5" xfId="12" applyFont="1" applyFill="1" applyBorder="1" applyAlignment="1">
      <alignment horizontal="center" vertical="center"/>
    </xf>
    <xf numFmtId="4" fontId="57" fillId="7" borderId="10" xfId="0" applyNumberFormat="1" applyFont="1" applyFill="1" applyBorder="1" applyAlignment="1">
      <alignment horizontal="center"/>
    </xf>
    <xf numFmtId="4" fontId="57" fillId="7" borderId="17" xfId="0" applyNumberFormat="1" applyFont="1" applyFill="1" applyBorder="1" applyAlignment="1">
      <alignment horizontal="center"/>
    </xf>
    <xf numFmtId="0" fontId="105" fillId="7" borderId="5" xfId="12" applyFont="1" applyFill="1" applyBorder="1" applyAlignment="1" applyProtection="1">
      <alignment horizontal="center" vertical="center"/>
      <protection locked="0"/>
    </xf>
    <xf numFmtId="4" fontId="102" fillId="7" borderId="4" xfId="0" applyNumberFormat="1" applyFont="1" applyFill="1" applyBorder="1" applyAlignment="1">
      <alignment horizontal="center"/>
    </xf>
    <xf numFmtId="2" fontId="58" fillId="7" borderId="0" xfId="0" applyNumberFormat="1" applyFont="1" applyFill="1"/>
    <xf numFmtId="4" fontId="101" fillId="7" borderId="5" xfId="0" applyNumberFormat="1" applyFont="1" applyFill="1" applyBorder="1" applyAlignment="1">
      <alignment horizontal="center"/>
    </xf>
    <xf numFmtId="4" fontId="98" fillId="7" borderId="4" xfId="0" applyNumberFormat="1" applyFont="1" applyFill="1" applyBorder="1" applyAlignment="1">
      <alignment horizontal="center"/>
    </xf>
    <xf numFmtId="49" fontId="13" fillId="7" borderId="36" xfId="0" applyNumberFormat="1" applyFont="1" applyFill="1" applyBorder="1"/>
    <xf numFmtId="49" fontId="15" fillId="16" borderId="36" xfId="0" applyNumberFormat="1" applyFont="1" applyFill="1" applyBorder="1"/>
    <xf numFmtId="0" fontId="17" fillId="16" borderId="5" xfId="12" applyFont="1" applyFill="1" applyBorder="1" applyAlignment="1" applyProtection="1">
      <alignment horizontal="center" vertical="center"/>
      <protection locked="0"/>
    </xf>
    <xf numFmtId="4" fontId="56" fillId="16" borderId="4" xfId="0" applyNumberFormat="1" applyFont="1" applyFill="1" applyBorder="1" applyAlignment="1">
      <alignment horizontal="center"/>
    </xf>
    <xf numFmtId="4" fontId="56" fillId="16" borderId="5" xfId="0" applyNumberFormat="1" applyFont="1" applyFill="1" applyBorder="1" applyAlignment="1">
      <alignment horizontal="center"/>
    </xf>
    <xf numFmtId="4" fontId="98" fillId="16" borderId="5" xfId="0" applyNumberFormat="1" applyFont="1" applyFill="1" applyBorder="1" applyAlignment="1">
      <alignment horizontal="center"/>
    </xf>
    <xf numFmtId="4" fontId="99" fillId="16" borderId="9" xfId="0" applyNumberFormat="1" applyFont="1" applyFill="1" applyBorder="1" applyAlignment="1">
      <alignment horizontal="center"/>
    </xf>
    <xf numFmtId="4" fontId="100" fillId="16" borderId="9" xfId="0" applyNumberFormat="1" applyFont="1" applyFill="1" applyBorder="1" applyAlignment="1">
      <alignment horizontal="center"/>
    </xf>
    <xf numFmtId="4" fontId="99" fillId="16" borderId="10" xfId="0" applyNumberFormat="1" applyFont="1" applyFill="1" applyBorder="1" applyAlignment="1">
      <alignment horizontal="center"/>
    </xf>
    <xf numFmtId="4" fontId="98" fillId="16" borderId="36" xfId="0" applyNumberFormat="1" applyFont="1" applyFill="1" applyBorder="1" applyAlignment="1">
      <alignment horizontal="center"/>
    </xf>
    <xf numFmtId="0" fontId="56" fillId="16" borderId="5" xfId="0" applyFont="1" applyFill="1" applyBorder="1" applyAlignment="1">
      <alignment horizontal="center"/>
    </xf>
    <xf numFmtId="4" fontId="56" fillId="16" borderId="5" xfId="0" applyNumberFormat="1" applyFont="1" applyFill="1" applyBorder="1"/>
    <xf numFmtId="0" fontId="56" fillId="16" borderId="0" xfId="0" applyFont="1" applyFill="1"/>
    <xf numFmtId="0" fontId="72" fillId="7" borderId="5" xfId="12" applyFont="1" applyFill="1" applyBorder="1" applyAlignment="1">
      <alignment horizontal="center" vertical="center"/>
    </xf>
    <xf numFmtId="4" fontId="98" fillId="7" borderId="10" xfId="0" applyNumberFormat="1" applyFont="1" applyFill="1" applyBorder="1" applyAlignment="1">
      <alignment horizontal="center"/>
    </xf>
    <xf numFmtId="0" fontId="15" fillId="16" borderId="5" xfId="12" applyFont="1" applyFill="1" applyBorder="1" applyAlignment="1">
      <alignment horizontal="center" vertical="center"/>
    </xf>
    <xf numFmtId="0" fontId="58" fillId="7" borderId="5" xfId="0" applyFont="1" applyFill="1" applyBorder="1" applyAlignment="1">
      <alignment horizontal="center"/>
    </xf>
    <xf numFmtId="0" fontId="58" fillId="16" borderId="5" xfId="0" applyFont="1" applyFill="1" applyBorder="1" applyAlignment="1">
      <alignment horizontal="center"/>
    </xf>
    <xf numFmtId="0" fontId="14" fillId="0" borderId="5" xfId="0" applyFont="1" applyBorder="1"/>
    <xf numFmtId="0" fontId="14" fillId="0" borderId="5" xfId="0" applyFont="1" applyBorder="1" applyAlignment="1">
      <alignment horizontal="center"/>
    </xf>
    <xf numFmtId="0" fontId="14" fillId="0" borderId="5" xfId="0" applyFont="1" applyBorder="1" applyAlignment="1">
      <alignment vertical="center" wrapText="1"/>
    </xf>
    <xf numFmtId="0" fontId="14" fillId="0" borderId="5" xfId="0" applyFont="1" applyBorder="1" applyAlignment="1">
      <alignment vertical="center"/>
    </xf>
    <xf numFmtId="0" fontId="14" fillId="0" borderId="5" xfId="0" applyFont="1" applyBorder="1" applyAlignment="1">
      <alignment horizontal="center" vertical="center" wrapText="1"/>
    </xf>
    <xf numFmtId="0" fontId="0" fillId="7" borderId="5" xfId="0" applyFill="1" applyBorder="1"/>
    <xf numFmtId="0" fontId="14" fillId="7" borderId="5" xfId="0" applyFont="1" applyFill="1" applyBorder="1" applyAlignment="1">
      <alignment vertical="center"/>
    </xf>
    <xf numFmtId="0" fontId="14" fillId="0" borderId="5" xfId="0" applyFont="1" applyBorder="1" applyAlignment="1">
      <alignment horizontal="center" wrapText="1"/>
    </xf>
    <xf numFmtId="16" fontId="14" fillId="0" borderId="5" xfId="0" quotePrefix="1" applyNumberFormat="1" applyFont="1" applyBorder="1" applyAlignment="1">
      <alignment horizontal="center" vertical="center"/>
    </xf>
    <xf numFmtId="16" fontId="14" fillId="7" borderId="5" xfId="0" quotePrefix="1" applyNumberFormat="1" applyFont="1" applyFill="1" applyBorder="1" applyAlignment="1">
      <alignment horizontal="center" vertical="center"/>
    </xf>
    <xf numFmtId="16" fontId="14"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4" fillId="0" borderId="5" xfId="0" applyFont="1" applyFill="1" applyBorder="1" applyAlignment="1">
      <alignment horizontal="center" vertical="center" wrapText="1"/>
    </xf>
    <xf numFmtId="4" fontId="98" fillId="4" borderId="4" xfId="0" applyNumberFormat="1" applyFont="1" applyFill="1" applyBorder="1" applyAlignment="1">
      <alignment horizontal="center"/>
    </xf>
    <xf numFmtId="4" fontId="56" fillId="16" borderId="25" xfId="0" applyNumberFormat="1" applyFont="1" applyFill="1" applyBorder="1" applyAlignment="1">
      <alignment horizontal="center"/>
    </xf>
    <xf numFmtId="4" fontId="56" fillId="15" borderId="5" xfId="0" applyNumberFormat="1" applyFont="1" applyFill="1" applyBorder="1" applyAlignment="1">
      <alignment horizontal="center"/>
    </xf>
    <xf numFmtId="0" fontId="56" fillId="4" borderId="13" xfId="0" applyFont="1" applyFill="1" applyBorder="1" applyAlignment="1">
      <alignment horizontal="center"/>
    </xf>
    <xf numFmtId="0" fontId="98" fillId="4" borderId="13" xfId="0" applyFont="1" applyFill="1" applyBorder="1" applyAlignment="1">
      <alignment horizontal="center"/>
    </xf>
    <xf numFmtId="0" fontId="98" fillId="4" borderId="13" xfId="0" applyFont="1" applyFill="1" applyBorder="1"/>
    <xf numFmtId="4" fontId="100" fillId="4" borderId="5" xfId="0" applyNumberFormat="1" applyFont="1" applyFill="1" applyBorder="1" applyAlignment="1">
      <alignment horizontal="center"/>
    </xf>
    <xf numFmtId="0" fontId="101" fillId="4" borderId="0" xfId="0" applyFont="1" applyFill="1"/>
    <xf numFmtId="4" fontId="101" fillId="4" borderId="9" xfId="0" applyNumberFormat="1" applyFont="1" applyFill="1" applyBorder="1" applyAlignment="1">
      <alignment horizontal="center"/>
    </xf>
    <xf numFmtId="0" fontId="98" fillId="4" borderId="51" xfId="0" applyFont="1" applyFill="1" applyBorder="1" applyAlignment="1"/>
    <xf numFmtId="4" fontId="102" fillId="15" borderId="5" xfId="0" applyNumberFormat="1" applyFont="1" applyFill="1" applyBorder="1" applyAlignment="1">
      <alignment horizontal="center"/>
    </xf>
    <xf numFmtId="4" fontId="98" fillId="16" borderId="25" xfId="0" applyNumberFormat="1" applyFont="1" applyFill="1" applyBorder="1" applyAlignment="1">
      <alignment horizontal="center"/>
    </xf>
    <xf numFmtId="4" fontId="56" fillId="15" borderId="25" xfId="0" applyNumberFormat="1" applyFont="1" applyFill="1" applyBorder="1" applyAlignment="1">
      <alignment horizontal="center"/>
    </xf>
    <xf numFmtId="4" fontId="98" fillId="4" borderId="22" xfId="0" applyNumberFormat="1" applyFont="1" applyFill="1" applyBorder="1" applyAlignment="1">
      <alignment horizontal="center"/>
    </xf>
    <xf numFmtId="0" fontId="56" fillId="15" borderId="5" xfId="0" applyFont="1" applyFill="1" applyBorder="1"/>
    <xf numFmtId="4" fontId="98" fillId="4" borderId="5" xfId="0" applyNumberFormat="1" applyFont="1" applyFill="1" applyBorder="1" applyAlignment="1">
      <alignment horizontal="center"/>
    </xf>
    <xf numFmtId="49" fontId="73" fillId="0" borderId="5" xfId="0" applyNumberFormat="1" applyFont="1" applyBorder="1" applyAlignment="1">
      <alignment horizontal="left"/>
    </xf>
    <xf numFmtId="0" fontId="13" fillId="0" borderId="0" xfId="12" applyFont="1" applyAlignment="1">
      <alignment horizontal="center"/>
    </xf>
    <xf numFmtId="0" fontId="98" fillId="4" borderId="18" xfId="0" applyFont="1" applyFill="1" applyBorder="1" applyAlignment="1">
      <alignment horizontal="center"/>
    </xf>
    <xf numFmtId="49" fontId="15" fillId="7" borderId="10" xfId="0" quotePrefix="1" applyNumberFormat="1" applyFont="1" applyFill="1" applyBorder="1"/>
    <xf numFmtId="49" fontId="15" fillId="4" borderId="10" xfId="0" quotePrefix="1" applyNumberFormat="1" applyFont="1" applyFill="1" applyBorder="1"/>
    <xf numFmtId="2" fontId="17" fillId="4" borderId="0" xfId="12" applyNumberFormat="1" applyFont="1" applyFill="1" applyAlignment="1">
      <alignment horizontal="center"/>
    </xf>
    <xf numFmtId="2" fontId="17" fillId="0" borderId="0" xfId="12" applyNumberFormat="1" applyFont="1" applyAlignment="1">
      <alignment horizontal="center"/>
    </xf>
    <xf numFmtId="2" fontId="17" fillId="0" borderId="0" xfId="12" applyNumberFormat="1" applyFont="1"/>
    <xf numFmtId="0" fontId="17" fillId="15" borderId="0" xfId="12" applyFont="1" applyFill="1"/>
    <xf numFmtId="4" fontId="98" fillId="15" borderId="9" xfId="0" applyNumberFormat="1" applyFont="1" applyFill="1" applyBorder="1" applyAlignment="1">
      <alignment horizontal="center"/>
    </xf>
    <xf numFmtId="2" fontId="17" fillId="7" borderId="0" xfId="12" applyNumberFormat="1" applyFont="1" applyFill="1" applyAlignment="1">
      <alignment horizontal="center"/>
    </xf>
    <xf numFmtId="4" fontId="17" fillId="7" borderId="5" xfId="12" applyNumberFormat="1" applyFont="1" applyFill="1" applyBorder="1"/>
    <xf numFmtId="2" fontId="56" fillId="15" borderId="5" xfId="0" applyNumberFormat="1" applyFont="1" applyFill="1" applyBorder="1" applyAlignment="1">
      <alignment horizontal="center"/>
    </xf>
    <xf numFmtId="4" fontId="98" fillId="4" borderId="5" xfId="0" applyNumberFormat="1" applyFont="1" applyFill="1" applyBorder="1" applyAlignment="1">
      <alignment horizontal="center"/>
    </xf>
    <xf numFmtId="0" fontId="98" fillId="4" borderId="18" xfId="0" applyFont="1" applyFill="1" applyBorder="1" applyAlignment="1">
      <alignment horizontal="center"/>
    </xf>
    <xf numFmtId="0" fontId="56" fillId="4" borderId="7" xfId="0" applyFont="1" applyFill="1" applyBorder="1" applyAlignment="1">
      <alignment horizontal="center" vertical="center"/>
    </xf>
    <xf numFmtId="4" fontId="99" fillId="7" borderId="17" xfId="0" applyNumberFormat="1" applyFont="1" applyFill="1" applyBorder="1" applyAlignment="1">
      <alignment horizontal="center"/>
    </xf>
    <xf numFmtId="4" fontId="99" fillId="4" borderId="17" xfId="0" applyNumberFormat="1" applyFont="1" applyFill="1" applyBorder="1" applyAlignment="1">
      <alignment horizontal="center"/>
    </xf>
    <xf numFmtId="0" fontId="98" fillId="15" borderId="51" xfId="0" applyFont="1" applyFill="1" applyBorder="1" applyAlignment="1"/>
    <xf numFmtId="4" fontId="117" fillId="15" borderId="5" xfId="0" applyNumberFormat="1" applyFont="1" applyFill="1" applyBorder="1" applyAlignment="1">
      <alignment horizontal="center"/>
    </xf>
    <xf numFmtId="0" fontId="99" fillId="11" borderId="0" xfId="0" applyFont="1" applyFill="1"/>
    <xf numFmtId="0" fontId="98" fillId="11" borderId="51" xfId="0" applyFont="1" applyFill="1" applyBorder="1" applyAlignment="1"/>
    <xf numFmtId="0" fontId="98" fillId="11" borderId="18" xfId="0" applyFont="1" applyFill="1" applyBorder="1" applyAlignment="1">
      <alignment horizontal="center"/>
    </xf>
    <xf numFmtId="0" fontId="56" fillId="11" borderId="56" xfId="0" applyFont="1" applyFill="1" applyBorder="1" applyAlignment="1">
      <alignment horizontal="center" vertical="top"/>
    </xf>
    <xf numFmtId="4" fontId="99" fillId="11" borderId="5" xfId="0" applyNumberFormat="1" applyFont="1" applyFill="1" applyBorder="1" applyAlignment="1">
      <alignment horizontal="center"/>
    </xf>
    <xf numFmtId="4" fontId="57" fillId="11" borderId="5" xfId="0" applyNumberFormat="1" applyFont="1" applyFill="1" applyBorder="1" applyAlignment="1">
      <alignment horizontal="center"/>
    </xf>
    <xf numFmtId="4" fontId="98" fillId="11" borderId="5" xfId="0" applyNumberFormat="1" applyFont="1" applyFill="1" applyBorder="1" applyAlignment="1">
      <alignment horizontal="center"/>
    </xf>
    <xf numFmtId="0" fontId="99" fillId="11" borderId="51" xfId="0" applyFont="1" applyFill="1" applyBorder="1" applyAlignment="1">
      <alignment horizontal="center"/>
    </xf>
    <xf numFmtId="0" fontId="99" fillId="11" borderId="5" xfId="0" applyFont="1" applyFill="1" applyBorder="1" applyAlignment="1">
      <alignment horizontal="center"/>
    </xf>
    <xf numFmtId="4" fontId="19" fillId="15" borderId="10" xfId="12" applyNumberFormat="1" applyFont="1" applyFill="1" applyBorder="1" applyAlignment="1" applyProtection="1">
      <alignment horizontal="center" vertical="center"/>
      <protection locked="0"/>
    </xf>
    <xf numFmtId="4" fontId="98" fillId="15" borderId="36" xfId="0" applyNumberFormat="1" applyFont="1" applyFill="1" applyBorder="1" applyAlignment="1">
      <alignment horizontal="center"/>
    </xf>
    <xf numFmtId="49" fontId="15" fillId="11" borderId="5" xfId="0" applyNumberFormat="1" applyFont="1" applyFill="1" applyBorder="1" applyAlignment="1"/>
    <xf numFmtId="49" fontId="15" fillId="4" borderId="5" xfId="0" applyNumberFormat="1" applyFont="1" applyFill="1" applyBorder="1" applyAlignment="1">
      <alignment horizontal="center"/>
    </xf>
    <xf numFmtId="0" fontId="13" fillId="0" borderId="0" xfId="12" applyFont="1" applyAlignment="1">
      <alignment horizontal="center"/>
    </xf>
    <xf numFmtId="0" fontId="21" fillId="2" borderId="5" xfId="12" applyNumberFormat="1" applyFont="1" applyFill="1" applyBorder="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4" fontId="102" fillId="15" borderId="5" xfId="0" applyNumberFormat="1" applyFont="1" applyFill="1" applyBorder="1"/>
    <xf numFmtId="4" fontId="98" fillId="15" borderId="10" xfId="0" applyNumberFormat="1" applyFont="1" applyFill="1" applyBorder="1" applyAlignment="1">
      <alignment horizontal="center"/>
    </xf>
    <xf numFmtId="0" fontId="98" fillId="4" borderId="18" xfId="0" applyFont="1" applyFill="1" applyBorder="1" applyAlignment="1">
      <alignment horizontal="center"/>
    </xf>
    <xf numFmtId="4" fontId="58" fillId="15" borderId="5" xfId="0" applyNumberFormat="1" applyFont="1" applyFill="1" applyBorder="1" applyAlignment="1">
      <alignment horizontal="center"/>
    </xf>
    <xf numFmtId="2" fontId="58" fillId="15" borderId="0" xfId="0" applyNumberFormat="1" applyFont="1" applyFill="1"/>
    <xf numFmtId="4" fontId="114" fillId="15" borderId="4" xfId="0" applyNumberFormat="1" applyFont="1" applyFill="1" applyBorder="1" applyAlignment="1">
      <alignment horizontal="center"/>
    </xf>
    <xf numFmtId="2" fontId="17" fillId="15" borderId="0" xfId="12" applyNumberFormat="1" applyFont="1" applyFill="1" applyAlignment="1">
      <alignment horizontal="center"/>
    </xf>
    <xf numFmtId="4" fontId="102" fillId="11" borderId="2" xfId="0" applyNumberFormat="1" applyFont="1" applyFill="1" applyBorder="1" applyAlignment="1">
      <alignment horizontal="center"/>
    </xf>
    <xf numFmtId="4" fontId="56" fillId="11" borderId="5" xfId="0" applyNumberFormat="1" applyFont="1" applyFill="1" applyBorder="1" applyAlignment="1">
      <alignment horizontal="center"/>
    </xf>
    <xf numFmtId="4" fontId="102" fillId="11" borderId="5" xfId="0" applyNumberFormat="1" applyFont="1" applyFill="1" applyBorder="1" applyAlignment="1">
      <alignment horizontal="center"/>
    </xf>
    <xf numFmtId="4" fontId="58" fillId="11" borderId="5" xfId="0" applyNumberFormat="1" applyFont="1" applyFill="1" applyBorder="1" applyAlignment="1">
      <alignment horizontal="center"/>
    </xf>
    <xf numFmtId="0" fontId="98" fillId="11" borderId="68" xfId="0" applyFont="1" applyFill="1" applyBorder="1" applyAlignment="1">
      <alignment horizontal="center"/>
    </xf>
    <xf numFmtId="0" fontId="98" fillId="11" borderId="0" xfId="0" applyFont="1" applyFill="1"/>
    <xf numFmtId="4" fontId="105" fillId="11" borderId="9" xfId="12" applyNumberFormat="1" applyFont="1" applyFill="1" applyBorder="1" applyAlignment="1" applyProtection="1">
      <alignment horizontal="right" vertical="center"/>
      <protection locked="0"/>
    </xf>
    <xf numFmtId="4" fontId="56" fillId="11" borderId="4" xfId="0" applyNumberFormat="1" applyFont="1" applyFill="1" applyBorder="1" applyAlignment="1">
      <alignment horizontal="center"/>
    </xf>
    <xf numFmtId="4" fontId="56" fillId="11" borderId="25" xfId="0" applyNumberFormat="1" applyFont="1" applyFill="1" applyBorder="1" applyAlignment="1">
      <alignment horizontal="center"/>
    </xf>
    <xf numFmtId="4" fontId="99" fillId="11" borderId="9" xfId="0" applyNumberFormat="1" applyFont="1" applyFill="1" applyBorder="1" applyAlignment="1">
      <alignment horizontal="center"/>
    </xf>
    <xf numFmtId="0" fontId="17" fillId="11" borderId="0" xfId="12" applyFont="1" applyFill="1"/>
    <xf numFmtId="4" fontId="98" fillId="11" borderId="9" xfId="0" applyNumberFormat="1" applyFont="1" applyFill="1" applyBorder="1" applyAlignment="1">
      <alignment horizontal="center"/>
    </xf>
    <xf numFmtId="4" fontId="98" fillId="11" borderId="25" xfId="0" applyNumberFormat="1" applyFont="1" applyFill="1" applyBorder="1" applyAlignment="1">
      <alignment horizontal="center"/>
    </xf>
    <xf numFmtId="0" fontId="56" fillId="11" borderId="16" xfId="0" applyFont="1" applyFill="1" applyBorder="1" applyAlignment="1">
      <alignment horizontal="center" vertical="top"/>
    </xf>
    <xf numFmtId="0" fontId="56" fillId="11" borderId="5" xfId="0" applyFont="1" applyFill="1" applyBorder="1"/>
    <xf numFmtId="4" fontId="56" fillId="11" borderId="9" xfId="0" applyNumberFormat="1" applyFont="1" applyFill="1" applyBorder="1" applyAlignment="1">
      <alignment horizontal="center"/>
    </xf>
    <xf numFmtId="4" fontId="99" fillId="11" borderId="2" xfId="0" applyNumberFormat="1" applyFont="1" applyFill="1" applyBorder="1" applyAlignment="1">
      <alignment horizontal="center"/>
    </xf>
    <xf numFmtId="0" fontId="98" fillId="11" borderId="5" xfId="0" applyFont="1" applyFill="1" applyBorder="1"/>
    <xf numFmtId="4" fontId="105" fillId="11" borderId="5" xfId="12" applyNumberFormat="1" applyFont="1" applyFill="1" applyBorder="1" applyAlignment="1" applyProtection="1">
      <alignment horizontal="center" vertical="center"/>
      <protection locked="0"/>
    </xf>
    <xf numFmtId="0" fontId="57" fillId="17" borderId="0" xfId="0" applyFont="1" applyFill="1"/>
    <xf numFmtId="0" fontId="98" fillId="17" borderId="0" xfId="0" applyFont="1" applyFill="1"/>
    <xf numFmtId="0" fontId="99" fillId="17" borderId="0" xfId="0" applyFont="1" applyFill="1"/>
    <xf numFmtId="0" fontId="100" fillId="17" borderId="0" xfId="0" applyFont="1" applyFill="1"/>
    <xf numFmtId="0" fontId="57" fillId="17" borderId="0" xfId="0" applyFont="1" applyFill="1" applyAlignment="1">
      <alignment horizontal="left"/>
    </xf>
    <xf numFmtId="0" fontId="98" fillId="17" borderId="0" xfId="0" applyFont="1" applyFill="1" applyAlignment="1"/>
    <xf numFmtId="0" fontId="118" fillId="17" borderId="0" xfId="0" applyFont="1" applyFill="1" applyAlignment="1">
      <alignment horizontal="left"/>
    </xf>
    <xf numFmtId="2" fontId="56" fillId="4" borderId="5" xfId="0" applyNumberFormat="1" applyFont="1" applyFill="1" applyBorder="1" applyAlignment="1">
      <alignment horizontal="center"/>
    </xf>
    <xf numFmtId="0" fontId="100" fillId="4" borderId="0" xfId="0" applyFont="1" applyFill="1"/>
    <xf numFmtId="0" fontId="100" fillId="4" borderId="51" xfId="0" applyFont="1" applyFill="1" applyBorder="1" applyAlignment="1">
      <alignment horizontal="center"/>
    </xf>
    <xf numFmtId="0" fontId="100" fillId="4" borderId="5" xfId="0" applyFont="1" applyFill="1" applyBorder="1" applyAlignment="1">
      <alignment horizontal="center"/>
    </xf>
    <xf numFmtId="0" fontId="120" fillId="4" borderId="51" xfId="0" applyFont="1" applyFill="1" applyBorder="1" applyAlignment="1"/>
    <xf numFmtId="4" fontId="56" fillId="4" borderId="17" xfId="0" applyNumberFormat="1" applyFont="1" applyFill="1" applyBorder="1" applyAlignment="1">
      <alignment horizontal="center"/>
    </xf>
    <xf numFmtId="4" fontId="56" fillId="4" borderId="29" xfId="0" applyNumberFormat="1" applyFont="1" applyFill="1" applyBorder="1" applyAlignment="1">
      <alignment horizontal="center"/>
    </xf>
    <xf numFmtId="4" fontId="56" fillId="4" borderId="36" xfId="0" applyNumberFormat="1" applyFont="1" applyFill="1" applyBorder="1" applyAlignment="1">
      <alignment horizontal="center"/>
    </xf>
    <xf numFmtId="4" fontId="56" fillId="4" borderId="26" xfId="0" applyNumberFormat="1" applyFont="1" applyFill="1" applyBorder="1" applyAlignment="1">
      <alignment horizontal="center"/>
    </xf>
    <xf numFmtId="4" fontId="100" fillId="7" borderId="9" xfId="0" applyNumberFormat="1" applyFont="1" applyFill="1" applyBorder="1" applyAlignment="1">
      <alignment horizontal="center"/>
    </xf>
    <xf numFmtId="49" fontId="70" fillId="16" borderId="60" xfId="0" applyNumberFormat="1" applyFont="1" applyFill="1" applyBorder="1"/>
    <xf numFmtId="0" fontId="105" fillId="16" borderId="5" xfId="12" applyFont="1" applyFill="1" applyBorder="1" applyAlignment="1" applyProtection="1">
      <alignment horizontal="center" vertical="center"/>
      <protection locked="0"/>
    </xf>
    <xf numFmtId="0" fontId="72" fillId="16" borderId="5" xfId="12" applyFont="1" applyFill="1" applyBorder="1" applyAlignment="1">
      <alignment horizontal="center" vertical="center"/>
    </xf>
    <xf numFmtId="0" fontId="56" fillId="4" borderId="51" xfId="0" applyFont="1" applyFill="1" applyBorder="1" applyAlignment="1"/>
    <xf numFmtId="0" fontId="56" fillId="4" borderId="49" xfId="0" applyFont="1" applyFill="1" applyBorder="1" applyAlignment="1">
      <alignment horizontal="center" vertical="top"/>
    </xf>
    <xf numFmtId="0" fontId="56" fillId="4" borderId="84" xfId="0" applyFont="1" applyFill="1" applyBorder="1" applyAlignment="1">
      <alignment horizontal="center"/>
    </xf>
    <xf numFmtId="4" fontId="56" fillId="4" borderId="1" xfId="0" applyNumberFormat="1" applyFont="1" applyFill="1" applyBorder="1" applyAlignment="1">
      <alignment horizontal="center"/>
    </xf>
    <xf numFmtId="4" fontId="100" fillId="4" borderId="10" xfId="0" applyNumberFormat="1" applyFont="1" applyFill="1" applyBorder="1" applyAlignment="1">
      <alignment horizontal="center"/>
    </xf>
    <xf numFmtId="0" fontId="56" fillId="4" borderId="56" xfId="0" applyFont="1" applyFill="1" applyBorder="1" applyAlignment="1">
      <alignment horizontal="center" vertical="top"/>
    </xf>
    <xf numFmtId="4" fontId="101" fillId="4" borderId="25" xfId="0" applyNumberFormat="1" applyFont="1" applyFill="1" applyBorder="1" applyAlignment="1">
      <alignment horizontal="center"/>
    </xf>
    <xf numFmtId="4" fontId="100" fillId="4" borderId="25" xfId="0" applyNumberFormat="1" applyFont="1" applyFill="1" applyBorder="1" applyAlignment="1">
      <alignment horizontal="center"/>
    </xf>
    <xf numFmtId="0" fontId="99" fillId="4" borderId="5" xfId="0" applyFont="1" applyFill="1" applyBorder="1"/>
    <xf numFmtId="4" fontId="105" fillId="7" borderId="9" xfId="12" applyNumberFormat="1" applyFont="1" applyFill="1" applyBorder="1" applyAlignment="1" applyProtection="1">
      <alignment vertical="center"/>
      <protection locked="0"/>
    </xf>
    <xf numFmtId="4" fontId="56" fillId="14" borderId="4" xfId="0" applyNumberFormat="1" applyFont="1" applyFill="1" applyBorder="1" applyAlignment="1">
      <alignment horizontal="center"/>
    </xf>
    <xf numFmtId="4" fontId="56" fillId="18" borderId="4" xfId="0" applyNumberFormat="1" applyFont="1" applyFill="1" applyBorder="1" applyAlignment="1">
      <alignment horizontal="center"/>
    </xf>
    <xf numFmtId="4" fontId="56" fillId="18" borderId="17" xfId="0" applyNumberFormat="1" applyFont="1" applyFill="1" applyBorder="1" applyAlignment="1">
      <alignment horizontal="center"/>
    </xf>
    <xf numFmtId="4" fontId="56" fillId="18" borderId="5" xfId="0" applyNumberFormat="1" applyFont="1" applyFill="1" applyBorder="1" applyAlignment="1">
      <alignment horizontal="center"/>
    </xf>
    <xf numFmtId="4" fontId="56" fillId="14" borderId="25" xfId="0" applyNumberFormat="1" applyFont="1" applyFill="1" applyBorder="1" applyAlignment="1">
      <alignment horizontal="center"/>
    </xf>
    <xf numFmtId="4" fontId="98" fillId="14" borderId="5" xfId="0" applyNumberFormat="1" applyFont="1" applyFill="1" applyBorder="1" applyAlignment="1">
      <alignment horizontal="center"/>
    </xf>
    <xf numFmtId="4" fontId="56" fillId="14" borderId="5" xfId="0" applyNumberFormat="1" applyFont="1" applyFill="1" applyBorder="1" applyAlignment="1">
      <alignment horizontal="center"/>
    </xf>
    <xf numFmtId="0" fontId="56" fillId="14" borderId="5" xfId="0" applyFont="1" applyFill="1" applyBorder="1" applyAlignment="1">
      <alignment horizontal="center"/>
    </xf>
    <xf numFmtId="4" fontId="98" fillId="14" borderId="25" xfId="0" applyNumberFormat="1" applyFont="1" applyFill="1" applyBorder="1" applyAlignment="1">
      <alignment horizontal="center"/>
    </xf>
    <xf numFmtId="4" fontId="98" fillId="18" borderId="5" xfId="0" applyNumberFormat="1" applyFont="1" applyFill="1" applyBorder="1" applyAlignment="1">
      <alignment horizontal="center"/>
    </xf>
    <xf numFmtId="4" fontId="98" fillId="14" borderId="9" xfId="0" applyNumberFormat="1" applyFont="1" applyFill="1" applyBorder="1" applyAlignment="1">
      <alignment horizontal="center"/>
    </xf>
    <xf numFmtId="0" fontId="17" fillId="4" borderId="9" xfId="12" applyFont="1" applyFill="1" applyBorder="1" applyAlignment="1" applyProtection="1">
      <alignment horizontal="center" vertical="center"/>
      <protection locked="0"/>
    </xf>
    <xf numFmtId="0" fontId="15" fillId="4" borderId="9" xfId="12" applyFont="1" applyFill="1" applyBorder="1" applyAlignment="1">
      <alignment horizontal="center" vertical="center"/>
    </xf>
    <xf numFmtId="0" fontId="105" fillId="4" borderId="9" xfId="12" applyFont="1" applyFill="1" applyBorder="1" applyAlignment="1" applyProtection="1">
      <alignment horizontal="center" vertical="center"/>
      <protection locked="0"/>
    </xf>
    <xf numFmtId="4" fontId="98" fillId="18" borderId="9" xfId="0" applyNumberFormat="1" applyFont="1" applyFill="1" applyBorder="1" applyAlignment="1">
      <alignment horizontal="center"/>
    </xf>
    <xf numFmtId="2" fontId="121" fillId="14" borderId="0" xfId="0" applyNumberFormat="1" applyFont="1" applyFill="1" applyAlignment="1">
      <alignment horizontal="center"/>
    </xf>
    <xf numFmtId="0" fontId="98" fillId="16" borderId="0" xfId="0" applyFont="1" applyFill="1"/>
    <xf numFmtId="4" fontId="56" fillId="14" borderId="9" xfId="0" applyNumberFormat="1" applyFont="1" applyFill="1" applyBorder="1" applyAlignment="1">
      <alignment horizontal="center"/>
    </xf>
    <xf numFmtId="4" fontId="98" fillId="19" borderId="9" xfId="0" applyNumberFormat="1" applyFont="1" applyFill="1" applyBorder="1" applyAlignment="1">
      <alignment horizontal="center"/>
    </xf>
    <xf numFmtId="4" fontId="56" fillId="18" borderId="9" xfId="0" applyNumberFormat="1" applyFont="1" applyFill="1" applyBorder="1" applyAlignment="1">
      <alignment horizontal="center"/>
    </xf>
    <xf numFmtId="4" fontId="17" fillId="18" borderId="4" xfId="12" applyNumberFormat="1" applyFont="1" applyFill="1" applyBorder="1" applyAlignment="1">
      <alignment horizontal="center"/>
    </xf>
    <xf numFmtId="0" fontId="98" fillId="4" borderId="18" xfId="0" applyFont="1" applyFill="1" applyBorder="1" applyAlignment="1">
      <alignment horizontal="center"/>
    </xf>
    <xf numFmtId="0" fontId="98" fillId="4" borderId="51" xfId="0" applyFont="1" applyFill="1" applyBorder="1" applyAlignment="1">
      <alignment horizontal="center"/>
    </xf>
    <xf numFmtId="4" fontId="100" fillId="18" borderId="9" xfId="0" applyNumberFormat="1" applyFont="1" applyFill="1" applyBorder="1" applyAlignment="1">
      <alignment horizontal="center"/>
    </xf>
    <xf numFmtId="0" fontId="56" fillId="4" borderId="25" xfId="0" applyFont="1" applyFill="1" applyBorder="1"/>
    <xf numFmtId="4" fontId="98" fillId="18" borderId="25" xfId="0" applyNumberFormat="1" applyFont="1" applyFill="1" applyBorder="1" applyAlignment="1">
      <alignment horizontal="center"/>
    </xf>
    <xf numFmtId="49" fontId="13" fillId="4" borderId="10" xfId="0" quotePrefix="1" applyNumberFormat="1" applyFont="1" applyFill="1" applyBorder="1"/>
    <xf numFmtId="49" fontId="13" fillId="4" borderId="5" xfId="0" applyNumberFormat="1" applyFont="1" applyFill="1" applyBorder="1" applyAlignment="1"/>
    <xf numFmtId="49" fontId="13" fillId="4" borderId="36" xfId="0" applyNumberFormat="1" applyFont="1" applyFill="1" applyBorder="1" applyAlignment="1"/>
    <xf numFmtId="4" fontId="56" fillId="18" borderId="36" xfId="0" applyNumberFormat="1" applyFont="1" applyFill="1" applyBorder="1" applyAlignment="1">
      <alignment horizontal="center"/>
    </xf>
    <xf numFmtId="4" fontId="56" fillId="14" borderId="36" xfId="0" applyNumberFormat="1" applyFont="1" applyFill="1" applyBorder="1" applyAlignment="1">
      <alignment horizontal="center"/>
    </xf>
    <xf numFmtId="4" fontId="98" fillId="14" borderId="31" xfId="0" applyNumberFormat="1" applyFont="1" applyFill="1" applyBorder="1" applyAlignment="1">
      <alignment horizontal="center"/>
    </xf>
    <xf numFmtId="4" fontId="98" fillId="13" borderId="31" xfId="0" applyNumberFormat="1" applyFont="1" applyFill="1" applyBorder="1" applyAlignment="1">
      <alignment horizontal="center"/>
    </xf>
    <xf numFmtId="4" fontId="98" fillId="20" borderId="25" xfId="0" applyNumberFormat="1" applyFont="1" applyFill="1" applyBorder="1" applyAlignment="1">
      <alignment horizontal="center"/>
    </xf>
    <xf numFmtId="4" fontId="56" fillId="18" borderId="25" xfId="0" applyNumberFormat="1" applyFont="1" applyFill="1" applyBorder="1" applyAlignment="1">
      <alignment horizontal="center"/>
    </xf>
    <xf numFmtId="4" fontId="98" fillId="18" borderId="31" xfId="0" applyNumberFormat="1" applyFont="1" applyFill="1" applyBorder="1" applyAlignment="1">
      <alignment horizontal="center"/>
    </xf>
    <xf numFmtId="4" fontId="98" fillId="13" borderId="36" xfId="0" applyNumberFormat="1" applyFont="1" applyFill="1" applyBorder="1" applyAlignment="1">
      <alignment horizontal="center"/>
    </xf>
    <xf numFmtId="2" fontId="121" fillId="4" borderId="0" xfId="0" applyNumberFormat="1" applyFont="1" applyFill="1" applyAlignment="1">
      <alignment horizontal="center"/>
    </xf>
    <xf numFmtId="0" fontId="98" fillId="7" borderId="51" xfId="0" applyFont="1" applyFill="1" applyBorder="1" applyAlignment="1"/>
    <xf numFmtId="0" fontId="100" fillId="7" borderId="18" xfId="0" applyFont="1" applyFill="1" applyBorder="1" applyAlignment="1">
      <alignment horizontal="center"/>
    </xf>
    <xf numFmtId="0" fontId="101" fillId="7" borderId="16" xfId="0" applyFont="1" applyFill="1" applyBorder="1" applyAlignment="1">
      <alignment horizontal="center" vertical="top"/>
    </xf>
    <xf numFmtId="0" fontId="122" fillId="7" borderId="51" xfId="0" applyFont="1" applyFill="1" applyBorder="1" applyAlignment="1"/>
    <xf numFmtId="0" fontId="122" fillId="4" borderId="51" xfId="0" applyFont="1" applyFill="1" applyBorder="1" applyAlignment="1"/>
    <xf numFmtId="2" fontId="56" fillId="18" borderId="0" xfId="0" applyNumberFormat="1" applyFont="1" applyFill="1"/>
    <xf numFmtId="3" fontId="56" fillId="4" borderId="5" xfId="0" applyNumberFormat="1" applyFont="1" applyFill="1" applyBorder="1" applyAlignment="1">
      <alignment horizontal="center"/>
    </xf>
    <xf numFmtId="4" fontId="98" fillId="21" borderId="25" xfId="0" applyNumberFormat="1" applyFont="1" applyFill="1" applyBorder="1" applyAlignment="1">
      <alignment horizontal="center"/>
    </xf>
    <xf numFmtId="4" fontId="98" fillId="21" borderId="9" xfId="0" applyNumberFormat="1" applyFont="1" applyFill="1" applyBorder="1" applyAlignment="1">
      <alignment horizontal="center"/>
    </xf>
    <xf numFmtId="4" fontId="56" fillId="21" borderId="4" xfId="0" applyNumberFormat="1" applyFont="1" applyFill="1" applyBorder="1" applyAlignment="1">
      <alignment horizontal="center"/>
    </xf>
    <xf numFmtId="0" fontId="56" fillId="21" borderId="5" xfId="0" applyFont="1" applyFill="1" applyBorder="1"/>
    <xf numFmtId="4" fontId="100" fillId="21" borderId="25" xfId="0" applyNumberFormat="1" applyFont="1" applyFill="1" applyBorder="1" applyAlignment="1">
      <alignment horizontal="center"/>
    </xf>
    <xf numFmtId="4" fontId="56" fillId="21" borderId="25" xfId="0" applyNumberFormat="1" applyFont="1" applyFill="1" applyBorder="1" applyAlignment="1">
      <alignment horizontal="center"/>
    </xf>
    <xf numFmtId="4" fontId="56" fillId="21" borderId="5" xfId="0" applyNumberFormat="1" applyFont="1" applyFill="1" applyBorder="1" applyAlignment="1">
      <alignment horizontal="center"/>
    </xf>
    <xf numFmtId="4" fontId="101" fillId="14" borderId="25" xfId="0" applyNumberFormat="1" applyFont="1" applyFill="1" applyBorder="1" applyAlignment="1">
      <alignment horizontal="center"/>
    </xf>
    <xf numFmtId="2" fontId="56" fillId="14" borderId="0" xfId="0" applyNumberFormat="1" applyFont="1" applyFill="1" applyAlignment="1">
      <alignment horizontal="center"/>
    </xf>
    <xf numFmtId="4" fontId="17" fillId="14" borderId="4" xfId="12" applyNumberFormat="1" applyFont="1" applyFill="1" applyBorder="1"/>
    <xf numFmtId="4" fontId="98" fillId="14" borderId="10" xfId="0" applyNumberFormat="1" applyFont="1" applyFill="1" applyBorder="1" applyAlignment="1">
      <alignment horizontal="center"/>
    </xf>
    <xf numFmtId="0" fontId="56" fillId="4" borderId="0" xfId="0" applyFont="1" applyFill="1" applyBorder="1"/>
    <xf numFmtId="0" fontId="98" fillId="4" borderId="0" xfId="0" applyFont="1" applyFill="1" applyBorder="1" applyAlignment="1">
      <alignment horizontal="center" vertical="top"/>
    </xf>
    <xf numFmtId="4" fontId="100" fillId="13" borderId="9" xfId="0" applyNumberFormat="1" applyFont="1" applyFill="1" applyBorder="1" applyAlignment="1">
      <alignment horizontal="center"/>
    </xf>
    <xf numFmtId="4" fontId="98" fillId="13" borderId="25" xfId="0" applyNumberFormat="1" applyFont="1" applyFill="1" applyBorder="1" applyAlignment="1">
      <alignment horizontal="center"/>
    </xf>
    <xf numFmtId="4" fontId="98" fillId="12" borderId="25" xfId="0" applyNumberFormat="1" applyFont="1" applyFill="1" applyBorder="1" applyAlignment="1">
      <alignment horizontal="center"/>
    </xf>
    <xf numFmtId="4" fontId="98" fillId="12" borderId="9" xfId="0" applyNumberFormat="1" applyFont="1" applyFill="1" applyBorder="1" applyAlignment="1">
      <alignment horizontal="center"/>
    </xf>
    <xf numFmtId="4" fontId="56" fillId="12" borderId="5" xfId="0" applyNumberFormat="1" applyFont="1" applyFill="1" applyBorder="1" applyAlignment="1">
      <alignment horizontal="center"/>
    </xf>
    <xf numFmtId="4" fontId="98" fillId="13" borderId="5" xfId="0" applyNumberFormat="1" applyFont="1" applyFill="1" applyBorder="1" applyAlignment="1">
      <alignment horizontal="center"/>
    </xf>
    <xf numFmtId="4" fontId="98" fillId="13" borderId="10" xfId="0" applyNumberFormat="1" applyFont="1" applyFill="1" applyBorder="1" applyAlignment="1">
      <alignment horizontal="center"/>
    </xf>
    <xf numFmtId="4" fontId="100" fillId="6" borderId="9" xfId="0" applyNumberFormat="1" applyFont="1" applyFill="1" applyBorder="1" applyAlignment="1">
      <alignment horizontal="center"/>
    </xf>
    <xf numFmtId="4" fontId="100" fillId="14" borderId="9" xfId="0" applyNumberFormat="1" applyFont="1" applyFill="1" applyBorder="1" applyAlignment="1">
      <alignment horizontal="center"/>
    </xf>
    <xf numFmtId="4" fontId="98" fillId="13" borderId="9" xfId="0" applyNumberFormat="1" applyFont="1" applyFill="1" applyBorder="1" applyAlignment="1">
      <alignment horizontal="center"/>
    </xf>
    <xf numFmtId="4" fontId="100" fillId="14" borderId="10" xfId="0" applyNumberFormat="1" applyFont="1" applyFill="1" applyBorder="1" applyAlignment="1">
      <alignment horizontal="center"/>
    </xf>
    <xf numFmtId="4" fontId="98" fillId="14" borderId="0" xfId="0" applyNumberFormat="1" applyFont="1" applyFill="1" applyBorder="1" applyAlignment="1">
      <alignment horizontal="center"/>
    </xf>
    <xf numFmtId="49" fontId="15" fillId="14" borderId="10" xfId="0" quotePrefix="1" applyNumberFormat="1" applyFont="1" applyFill="1" applyBorder="1"/>
    <xf numFmtId="4" fontId="98" fillId="14" borderId="36" xfId="0" applyNumberFormat="1" applyFont="1" applyFill="1" applyBorder="1" applyAlignment="1">
      <alignment horizontal="center"/>
    </xf>
    <xf numFmtId="0" fontId="39" fillId="4" borderId="10" xfId="12" applyFont="1" applyFill="1" applyBorder="1" applyAlignment="1" applyProtection="1">
      <alignment horizontal="center" vertical="center"/>
      <protection locked="0"/>
    </xf>
    <xf numFmtId="0" fontId="98" fillId="4" borderId="18" xfId="0" applyFont="1" applyFill="1" applyBorder="1" applyAlignment="1">
      <alignment horizontal="center"/>
    </xf>
    <xf numFmtId="0" fontId="112" fillId="0" borderId="0" xfId="12" applyFont="1" applyAlignment="1">
      <alignment horizontal="center" vertical="center"/>
    </xf>
    <xf numFmtId="0" fontId="111" fillId="9" borderId="0" xfId="12" applyFont="1" applyFill="1" applyAlignment="1">
      <alignment horizontal="center" vertical="center"/>
    </xf>
    <xf numFmtId="0" fontId="111" fillId="0" borderId="0" xfId="12" applyFont="1" applyFill="1" applyBorder="1" applyAlignment="1">
      <alignment horizontal="center" vertical="center" wrapText="1"/>
    </xf>
    <xf numFmtId="0" fontId="111" fillId="0" borderId="0" xfId="12" applyFont="1" applyFill="1" applyBorder="1" applyAlignment="1">
      <alignment horizontal="center"/>
    </xf>
    <xf numFmtId="0" fontId="125" fillId="0" borderId="0" xfId="12" applyFont="1" applyFill="1" applyBorder="1" applyAlignment="1">
      <alignment horizontal="center" vertical="center"/>
    </xf>
    <xf numFmtId="0" fontId="111" fillId="9" borderId="0" xfId="12" applyFont="1" applyFill="1" applyBorder="1" applyAlignment="1">
      <alignment vertical="top"/>
    </xf>
    <xf numFmtId="2" fontId="56" fillId="4" borderId="0" xfId="0" applyNumberFormat="1" applyFont="1" applyFill="1" applyAlignment="1">
      <alignment horizontal="center"/>
    </xf>
    <xf numFmtId="0" fontId="15" fillId="4" borderId="46" xfId="12" applyFont="1" applyFill="1" applyBorder="1" applyAlignment="1">
      <alignment horizontal="center" vertical="center"/>
    </xf>
    <xf numFmtId="49" fontId="15" fillId="4" borderId="9" xfId="0" applyNumberFormat="1" applyFont="1" applyFill="1" applyBorder="1" applyAlignment="1">
      <alignment horizontal="center"/>
    </xf>
    <xf numFmtId="4" fontId="102" fillId="4" borderId="61" xfId="0" applyNumberFormat="1" applyFont="1" applyFill="1" applyBorder="1" applyAlignment="1">
      <alignment horizontal="center"/>
    </xf>
    <xf numFmtId="4" fontId="102" fillId="4" borderId="17" xfId="0" applyNumberFormat="1" applyFont="1" applyFill="1" applyBorder="1" applyAlignment="1">
      <alignment horizontal="center"/>
    </xf>
    <xf numFmtId="0" fontId="56" fillId="4" borderId="17" xfId="0" applyFont="1" applyFill="1" applyBorder="1"/>
    <xf numFmtId="4" fontId="56" fillId="12" borderId="17" xfId="0" applyNumberFormat="1" applyFont="1" applyFill="1" applyBorder="1" applyAlignment="1">
      <alignment horizontal="center"/>
    </xf>
    <xf numFmtId="4" fontId="56" fillId="13" borderId="5" xfId="0" applyNumberFormat="1" applyFont="1" applyFill="1" applyBorder="1" applyAlignment="1">
      <alignment horizontal="center"/>
    </xf>
    <xf numFmtId="0" fontId="98" fillId="7" borderId="51" xfId="0" applyFont="1" applyFill="1" applyBorder="1" applyAlignment="1">
      <alignment horizontal="center"/>
    </xf>
    <xf numFmtId="4" fontId="98" fillId="13" borderId="17" xfId="0" applyNumberFormat="1" applyFont="1" applyFill="1" applyBorder="1" applyAlignment="1">
      <alignment horizontal="center"/>
    </xf>
    <xf numFmtId="4" fontId="56" fillId="13" borderId="17" xfId="0" applyNumberFormat="1" applyFont="1" applyFill="1" applyBorder="1" applyAlignment="1">
      <alignment horizontal="center"/>
    </xf>
    <xf numFmtId="0" fontId="56" fillId="13" borderId="0" xfId="0" applyFont="1" applyFill="1"/>
    <xf numFmtId="0" fontId="15" fillId="13" borderId="9" xfId="12" applyFont="1" applyFill="1" applyBorder="1" applyAlignment="1">
      <alignment horizontal="center" vertical="center"/>
    </xf>
    <xf numFmtId="4" fontId="56" fillId="13" borderId="9" xfId="0" applyNumberFormat="1" applyFont="1" applyFill="1" applyBorder="1" applyAlignment="1">
      <alignment horizontal="center"/>
    </xf>
    <xf numFmtId="2" fontId="56" fillId="13" borderId="5" xfId="0" applyNumberFormat="1" applyFont="1" applyFill="1" applyBorder="1" applyAlignment="1">
      <alignment horizontal="center"/>
    </xf>
    <xf numFmtId="0" fontId="98" fillId="4" borderId="18" xfId="0" applyFont="1" applyFill="1" applyBorder="1" applyAlignment="1">
      <alignment horizontal="center"/>
    </xf>
    <xf numFmtId="0" fontId="98" fillId="4" borderId="51" xfId="0" applyFont="1" applyFill="1" applyBorder="1" applyAlignment="1">
      <alignment horizontal="center"/>
    </xf>
    <xf numFmtId="0" fontId="98" fillId="15" borderId="0" xfId="0" applyFont="1" applyFill="1"/>
    <xf numFmtId="0" fontId="98" fillId="15" borderId="5" xfId="0" applyFont="1" applyFill="1" applyBorder="1" applyAlignment="1">
      <alignment horizontal="center"/>
    </xf>
    <xf numFmtId="2" fontId="56" fillId="13" borderId="0" xfId="0" applyNumberFormat="1" applyFont="1" applyFill="1"/>
    <xf numFmtId="2" fontId="56" fillId="13" borderId="0" xfId="0" applyNumberFormat="1" applyFont="1" applyFill="1" applyAlignment="1">
      <alignment horizontal="center"/>
    </xf>
    <xf numFmtId="0" fontId="56" fillId="13" borderId="17" xfId="0" applyFont="1" applyFill="1" applyBorder="1"/>
    <xf numFmtId="0" fontId="17" fillId="4" borderId="0" xfId="12" applyFont="1" applyFill="1" applyAlignment="1">
      <alignment horizontal="center"/>
    </xf>
    <xf numFmtId="10" fontId="14" fillId="0" borderId="48" xfId="29" applyNumberFormat="1" applyFont="1" applyFill="1" applyBorder="1" applyAlignment="1">
      <alignment horizontal="center" vertical="center"/>
    </xf>
    <xf numFmtId="0" fontId="13" fillId="0" borderId="0" xfId="12" applyFont="1" applyAlignment="1">
      <alignment horizontal="center"/>
    </xf>
    <xf numFmtId="10" fontId="14" fillId="0" borderId="6" xfId="29"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0" fontId="41" fillId="0" borderId="47" xfId="12" applyFont="1" applyFill="1" applyBorder="1" applyAlignment="1">
      <alignment horizontal="center" vertical="center"/>
    </xf>
    <xf numFmtId="0" fontId="21" fillId="5" borderId="5" xfId="12" applyFont="1" applyFill="1" applyBorder="1" applyAlignment="1">
      <alignment horizontal="center"/>
    </xf>
    <xf numFmtId="4" fontId="99" fillId="15" borderId="2" xfId="0" applyNumberFormat="1" applyFont="1" applyFill="1" applyBorder="1" applyAlignment="1">
      <alignment horizontal="center"/>
    </xf>
    <xf numFmtId="0" fontId="98" fillId="15" borderId="52" xfId="0" applyFont="1" applyFill="1" applyBorder="1" applyAlignment="1">
      <alignment horizontal="center"/>
    </xf>
    <xf numFmtId="4" fontId="105" fillId="15" borderId="4" xfId="12" applyNumberFormat="1" applyFont="1" applyFill="1" applyBorder="1" applyAlignment="1">
      <alignment horizontal="center"/>
    </xf>
    <xf numFmtId="2" fontId="121" fillId="15" borderId="0" xfId="0" applyNumberFormat="1" applyFont="1" applyFill="1" applyAlignment="1">
      <alignment horizontal="center"/>
    </xf>
    <xf numFmtId="4" fontId="56" fillId="13" borderId="25" xfId="0" applyNumberFormat="1" applyFont="1" applyFill="1" applyBorder="1" applyAlignment="1">
      <alignment horizontal="center"/>
    </xf>
    <xf numFmtId="4" fontId="56" fillId="13" borderId="4" xfId="0" applyNumberFormat="1" applyFont="1" applyFill="1" applyBorder="1" applyAlignment="1">
      <alignment horizontal="center"/>
    </xf>
    <xf numFmtId="49" fontId="73" fillId="4" borderId="10" xfId="0" applyNumberFormat="1" applyFont="1" applyFill="1" applyBorder="1" applyAlignment="1"/>
    <xf numFmtId="49" fontId="13" fillId="4" borderId="10" xfId="0" applyNumberFormat="1" applyFont="1" applyFill="1" applyBorder="1"/>
    <xf numFmtId="0" fontId="39" fillId="4" borderId="10" xfId="12" applyFont="1" applyFill="1" applyBorder="1" applyAlignment="1" applyProtection="1">
      <alignment horizontal="center" vertical="center"/>
      <protection locked="0"/>
    </xf>
    <xf numFmtId="0" fontId="14" fillId="4" borderId="10" xfId="12" applyFont="1" applyFill="1" applyBorder="1" applyAlignment="1">
      <alignment horizontal="center" vertical="center"/>
    </xf>
    <xf numFmtId="0" fontId="98" fillId="4" borderId="18" xfId="0" applyFont="1" applyFill="1" applyBorder="1" applyAlignment="1">
      <alignment horizontal="center"/>
    </xf>
    <xf numFmtId="4" fontId="99" fillId="13" borderId="9" xfId="0" applyNumberFormat="1" applyFont="1" applyFill="1" applyBorder="1" applyAlignment="1">
      <alignment horizontal="center"/>
    </xf>
    <xf numFmtId="0" fontId="56" fillId="13" borderId="5" xfId="0" applyFont="1" applyFill="1" applyBorder="1"/>
    <xf numFmtId="4" fontId="102" fillId="13" borderId="9" xfId="0" applyNumberFormat="1" applyFont="1" applyFill="1" applyBorder="1" applyAlignment="1">
      <alignment horizontal="center"/>
    </xf>
    <xf numFmtId="0" fontId="99" fillId="15" borderId="51" xfId="0" applyFont="1" applyFill="1" applyBorder="1" applyAlignment="1">
      <alignment horizontal="center"/>
    </xf>
    <xf numFmtId="0" fontId="122" fillId="15" borderId="51" xfId="0" applyFont="1" applyFill="1" applyBorder="1" applyAlignment="1"/>
    <xf numFmtId="49" fontId="15" fillId="14" borderId="10" xfId="0" applyNumberFormat="1" applyFont="1" applyFill="1" applyBorder="1"/>
    <xf numFmtId="0" fontId="56" fillId="15" borderId="25" xfId="0" applyFont="1" applyFill="1" applyBorder="1"/>
    <xf numFmtId="2" fontId="56" fillId="13" borderId="5" xfId="0" applyNumberFormat="1" applyFont="1" applyFill="1" applyBorder="1"/>
    <xf numFmtId="4" fontId="98" fillId="5" borderId="5" xfId="0" applyNumberFormat="1" applyFont="1" applyFill="1" applyBorder="1" applyAlignment="1">
      <alignment horizontal="center"/>
    </xf>
    <xf numFmtId="0" fontId="98" fillId="13" borderId="5" xfId="0" applyFont="1" applyFill="1" applyBorder="1" applyAlignment="1">
      <alignment horizontal="center"/>
    </xf>
    <xf numFmtId="0" fontId="99" fillId="4" borderId="0" xfId="0" applyFont="1" applyFill="1" applyBorder="1"/>
    <xf numFmtId="0" fontId="99" fillId="4" borderId="0" xfId="0" applyFont="1" applyFill="1" applyBorder="1" applyAlignment="1">
      <alignment horizontal="center"/>
    </xf>
    <xf numFmtId="0" fontId="98" fillId="4" borderId="0" xfId="0" applyFont="1" applyFill="1" applyBorder="1" applyAlignment="1">
      <alignment horizontal="center"/>
    </xf>
    <xf numFmtId="4" fontId="56" fillId="6" borderId="36" xfId="0" applyNumberFormat="1" applyFont="1" applyFill="1" applyBorder="1" applyAlignment="1">
      <alignment horizontal="center"/>
    </xf>
    <xf numFmtId="0" fontId="98" fillId="13" borderId="5" xfId="0" applyFont="1" applyFill="1" applyBorder="1"/>
    <xf numFmtId="4" fontId="41" fillId="13" borderId="13" xfId="12" applyNumberFormat="1" applyFont="1" applyFill="1" applyBorder="1" applyAlignment="1">
      <alignment horizontal="center" vertical="center"/>
    </xf>
    <xf numFmtId="4" fontId="17" fillId="0" borderId="0" xfId="12" applyNumberFormat="1" applyFont="1" applyAlignment="1">
      <alignment horizontal="left"/>
    </xf>
    <xf numFmtId="0" fontId="17" fillId="0" borderId="0" xfId="12" applyFont="1" applyAlignment="1">
      <alignment horizontal="left"/>
    </xf>
    <xf numFmtId="2" fontId="107" fillId="0" borderId="5" xfId="12" applyNumberFormat="1" applyFont="1" applyFill="1" applyBorder="1" applyAlignment="1">
      <alignment horizontal="center" vertical="center"/>
    </xf>
    <xf numFmtId="0" fontId="126" fillId="0" borderId="6" xfId="12" applyFont="1" applyBorder="1" applyAlignment="1">
      <alignment horizontal="left" vertical="center" wrapText="1"/>
    </xf>
    <xf numFmtId="0" fontId="107" fillId="0" borderId="6" xfId="12" applyFont="1" applyFill="1" applyBorder="1" applyAlignment="1">
      <alignment horizontal="center" vertical="center"/>
    </xf>
    <xf numFmtId="0" fontId="111" fillId="0" borderId="0" xfId="12" applyFont="1" applyFill="1" applyAlignment="1">
      <alignment horizontal="left" vertical="center"/>
    </xf>
    <xf numFmtId="0" fontId="112" fillId="0" borderId="0" xfId="12" applyFont="1" applyFill="1" applyAlignment="1">
      <alignment vertical="center"/>
    </xf>
    <xf numFmtId="0" fontId="40" fillId="0" borderId="0" xfId="12" applyFont="1"/>
    <xf numFmtId="0" fontId="17" fillId="0" borderId="0" xfId="12" applyFont="1" applyAlignment="1"/>
    <xf numFmtId="0" fontId="40" fillId="0" borderId="0" xfId="12" applyFont="1" applyAlignment="1">
      <alignment vertical="top"/>
    </xf>
    <xf numFmtId="0" fontId="40" fillId="0" borderId="0" xfId="12" applyFont="1" applyAlignment="1">
      <alignment horizontal="center"/>
    </xf>
    <xf numFmtId="0" fontId="127" fillId="0" borderId="0" xfId="12" applyFont="1" applyAlignment="1">
      <alignment horizontal="center"/>
    </xf>
    <xf numFmtId="4" fontId="127" fillId="0" borderId="0" xfId="12" applyNumberFormat="1" applyFont="1" applyFill="1" applyAlignment="1">
      <alignment horizontal="left" vertical="top"/>
    </xf>
    <xf numFmtId="4" fontId="40" fillId="0" borderId="0" xfId="12" applyNumberFormat="1" applyFont="1" applyFill="1" applyAlignment="1">
      <alignment horizontal="center"/>
    </xf>
    <xf numFmtId="14" fontId="40" fillId="0" borderId="0" xfId="12" applyNumberFormat="1" applyFont="1" applyAlignment="1">
      <alignment horizontal="left"/>
    </xf>
    <xf numFmtId="49" fontId="40" fillId="0" borderId="0" xfId="12" applyNumberFormat="1" applyFont="1"/>
    <xf numFmtId="1" fontId="40" fillId="0" borderId="0" xfId="12" applyNumberFormat="1" applyFont="1" applyAlignment="1">
      <alignment horizontal="left"/>
    </xf>
    <xf numFmtId="0" fontId="40" fillId="0" borderId="0" xfId="12" applyFont="1" applyAlignment="1">
      <alignment horizontal="left" vertical="top"/>
    </xf>
    <xf numFmtId="4" fontId="40" fillId="0" borderId="0" xfId="12" applyNumberFormat="1" applyFont="1"/>
    <xf numFmtId="0" fontId="127" fillId="4" borderId="1" xfId="12" applyFont="1" applyFill="1" applyBorder="1" applyAlignment="1">
      <alignment horizontal="center" vertical="center"/>
    </xf>
    <xf numFmtId="0" fontId="127" fillId="4" borderId="3" xfId="12" applyFont="1" applyFill="1" applyBorder="1" applyAlignment="1">
      <alignment horizontal="center" vertical="center"/>
    </xf>
    <xf numFmtId="0" fontId="127" fillId="4" borderId="0" xfId="12" applyFont="1" applyFill="1"/>
    <xf numFmtId="4" fontId="40" fillId="4" borderId="0" xfId="12" applyNumberFormat="1" applyFont="1" applyFill="1"/>
    <xf numFmtId="0" fontId="40" fillId="4" borderId="0" xfId="12" applyFont="1" applyFill="1"/>
    <xf numFmtId="4" fontId="40" fillId="4" borderId="6" xfId="12" applyNumberFormat="1" applyFont="1" applyFill="1" applyBorder="1" applyAlignment="1" applyProtection="1">
      <alignment horizontal="center" vertical="center"/>
      <protection locked="0"/>
    </xf>
    <xf numFmtId="4" fontId="40" fillId="4" borderId="4" xfId="12" applyNumberFormat="1" applyFont="1" applyFill="1" applyBorder="1" applyAlignment="1">
      <alignment horizontal="center"/>
    </xf>
    <xf numFmtId="4" fontId="40" fillId="4" borderId="5" xfId="12" applyNumberFormat="1" applyFont="1" applyFill="1" applyBorder="1" applyAlignment="1" applyProtection="1">
      <alignment vertical="center"/>
      <protection locked="0"/>
    </xf>
    <xf numFmtId="0" fontId="40" fillId="0" borderId="0" xfId="0" applyFont="1" applyAlignment="1">
      <alignment vertical="top"/>
    </xf>
    <xf numFmtId="4" fontId="128" fillId="0" borderId="0" xfId="0" applyNumberFormat="1" applyFont="1" applyAlignment="1">
      <alignment vertical="top"/>
    </xf>
    <xf numFmtId="4" fontId="40" fillId="0" borderId="0" xfId="12" applyNumberFormat="1" applyFont="1" applyAlignment="1">
      <alignment horizontal="center"/>
    </xf>
    <xf numFmtId="0" fontId="127" fillId="0" borderId="0" xfId="12" applyFont="1" applyAlignment="1">
      <alignment horizontal="center" vertical="center"/>
    </xf>
    <xf numFmtId="14" fontId="40" fillId="0" borderId="0" xfId="12" applyNumberFormat="1" applyFont="1" applyAlignment="1">
      <alignment horizontal="center"/>
    </xf>
    <xf numFmtId="4" fontId="40" fillId="0" borderId="0" xfId="12" applyNumberFormat="1" applyFont="1" applyFill="1" applyAlignment="1">
      <alignment horizontal="center" vertical="center"/>
    </xf>
    <xf numFmtId="0" fontId="88" fillId="4" borderId="5" xfId="0" applyFont="1" applyFill="1" applyBorder="1" applyAlignment="1" applyProtection="1">
      <alignment vertical="center"/>
      <protection locked="0"/>
    </xf>
    <xf numFmtId="0" fontId="39" fillId="0" borderId="5" xfId="0" applyFont="1" applyBorder="1" applyAlignment="1">
      <alignment vertical="top"/>
    </xf>
    <xf numFmtId="0" fontId="12" fillId="4" borderId="5" xfId="12" applyFont="1" applyFill="1" applyBorder="1"/>
    <xf numFmtId="0" fontId="19" fillId="4" borderId="13" xfId="12" applyFont="1" applyFill="1" applyBorder="1" applyAlignment="1" applyProtection="1">
      <alignment vertical="center"/>
      <protection locked="0"/>
    </xf>
    <xf numFmtId="0" fontId="88" fillId="4" borderId="6" xfId="0" applyFont="1" applyFill="1" applyBorder="1" applyAlignment="1" applyProtection="1">
      <alignment horizontal="center" vertical="center"/>
      <protection locked="0"/>
    </xf>
    <xf numFmtId="0" fontId="13" fillId="4" borderId="13" xfId="12" applyNumberFormat="1" applyFont="1" applyFill="1" applyBorder="1" applyAlignment="1">
      <alignment horizontal="right"/>
    </xf>
    <xf numFmtId="0" fontId="15" fillId="4" borderId="13" xfId="12" applyNumberFormat="1" applyFont="1" applyFill="1" applyBorder="1" applyAlignment="1">
      <alignment horizontal="center"/>
    </xf>
    <xf numFmtId="0" fontId="15" fillId="4" borderId="13" xfId="12" applyNumberFormat="1" applyFont="1" applyFill="1" applyBorder="1" applyAlignment="1">
      <alignment horizontal="center" vertical="center"/>
    </xf>
    <xf numFmtId="0" fontId="15" fillId="4" borderId="13" xfId="12" applyNumberFormat="1" applyFont="1" applyFill="1" applyBorder="1"/>
    <xf numFmtId="0" fontId="13" fillId="4" borderId="13" xfId="12" applyNumberFormat="1" applyFont="1" applyFill="1" applyBorder="1"/>
    <xf numFmtId="0" fontId="13" fillId="4" borderId="13" xfId="12" applyNumberFormat="1" applyFont="1" applyFill="1" applyBorder="1" applyAlignment="1">
      <alignment horizontal="center"/>
    </xf>
    <xf numFmtId="4" fontId="15" fillId="4" borderId="13" xfId="12" applyNumberFormat="1" applyFont="1" applyFill="1" applyBorder="1" applyAlignment="1">
      <alignment horizontal="center"/>
    </xf>
    <xf numFmtId="0" fontId="19" fillId="4" borderId="1" xfId="12" applyFont="1" applyFill="1" applyBorder="1" applyAlignment="1" applyProtection="1">
      <alignment vertical="center"/>
      <protection locked="0"/>
    </xf>
    <xf numFmtId="0" fontId="12" fillId="4" borderId="2" xfId="12" applyNumberFormat="1" applyFont="1" applyFill="1" applyBorder="1" applyAlignment="1"/>
    <xf numFmtId="0" fontId="19" fillId="4" borderId="4" xfId="12" applyFont="1" applyFill="1" applyBorder="1" applyAlignment="1" applyProtection="1">
      <alignment vertical="center"/>
      <protection locked="0"/>
    </xf>
    <xf numFmtId="0" fontId="129" fillId="4" borderId="7" xfId="12" applyFont="1" applyFill="1" applyBorder="1" applyAlignment="1" applyProtection="1">
      <alignment vertical="center"/>
      <protection locked="0"/>
    </xf>
    <xf numFmtId="0" fontId="12" fillId="4" borderId="8" xfId="12" applyNumberFormat="1" applyFont="1" applyFill="1" applyBorder="1" applyAlignment="1">
      <alignment horizontal="center"/>
    </xf>
    <xf numFmtId="4" fontId="12" fillId="4" borderId="8" xfId="12" applyNumberFormat="1" applyFont="1" applyFill="1" applyBorder="1"/>
    <xf numFmtId="4" fontId="12" fillId="4" borderId="8" xfId="12" applyNumberFormat="1" applyFont="1" applyFill="1" applyBorder="1" applyAlignment="1">
      <alignment horizontal="center"/>
    </xf>
    <xf numFmtId="0" fontId="12" fillId="4" borderId="8" xfId="12" applyNumberFormat="1" applyFont="1" applyFill="1" applyBorder="1" applyAlignment="1"/>
    <xf numFmtId="10" fontId="12" fillId="4" borderId="8" xfId="12" applyNumberFormat="1" applyFont="1" applyFill="1" applyBorder="1" applyAlignment="1">
      <alignment horizontal="center"/>
    </xf>
    <xf numFmtId="0" fontId="95" fillId="4" borderId="5" xfId="0" applyFont="1" applyFill="1" applyBorder="1" applyAlignment="1" applyProtection="1">
      <alignment vertical="center"/>
      <protection locked="0"/>
    </xf>
    <xf numFmtId="0" fontId="131" fillId="4" borderId="4" xfId="0" applyFont="1" applyFill="1" applyBorder="1" applyAlignment="1" applyProtection="1">
      <alignment vertical="center"/>
      <protection locked="0"/>
    </xf>
    <xf numFmtId="0" fontId="131" fillId="4" borderId="5" xfId="0" applyFont="1" applyFill="1" applyBorder="1" applyAlignment="1" applyProtection="1">
      <alignment vertical="center"/>
      <protection locked="0"/>
    </xf>
    <xf numFmtId="0" fontId="131" fillId="4" borderId="6" xfId="0" applyFont="1" applyFill="1" applyBorder="1" applyAlignment="1" applyProtection="1">
      <alignment horizontal="center" vertical="center"/>
      <protection locked="0"/>
    </xf>
    <xf numFmtId="0" fontId="39" fillId="4" borderId="4" xfId="0" applyFont="1" applyFill="1" applyBorder="1" applyAlignment="1">
      <alignment vertical="top"/>
    </xf>
    <xf numFmtId="0" fontId="39" fillId="4" borderId="5" xfId="0" applyFont="1" applyFill="1" applyBorder="1" applyAlignment="1">
      <alignment vertical="top"/>
    </xf>
    <xf numFmtId="0" fontId="88" fillId="4" borderId="4" xfId="0" applyFont="1" applyFill="1" applyBorder="1" applyAlignment="1" applyProtection="1">
      <alignment vertical="center"/>
      <protection locked="0"/>
    </xf>
    <xf numFmtId="0" fontId="67" fillId="4" borderId="4" xfId="0" applyFont="1" applyFill="1" applyBorder="1" applyAlignment="1" applyProtection="1">
      <alignment vertical="center"/>
      <protection locked="0"/>
    </xf>
    <xf numFmtId="0" fontId="70" fillId="4" borderId="5" xfId="0" applyFont="1" applyFill="1" applyBorder="1" applyAlignment="1" applyProtection="1">
      <alignment vertical="center"/>
      <protection locked="0"/>
    </xf>
    <xf numFmtId="0" fontId="70" fillId="4" borderId="6" xfId="0" applyFont="1" applyFill="1" applyBorder="1" applyAlignment="1" applyProtection="1">
      <alignment horizontal="center" vertical="center"/>
      <protection locked="0"/>
    </xf>
    <xf numFmtId="0" fontId="95" fillId="4" borderId="4" xfId="0" applyFont="1" applyFill="1" applyBorder="1" applyAlignment="1" applyProtection="1">
      <alignment vertical="center"/>
      <protection locked="0"/>
    </xf>
    <xf numFmtId="0" fontId="95" fillId="4" borderId="6" xfId="0" applyFont="1" applyFill="1" applyBorder="1" applyAlignment="1" applyProtection="1">
      <alignment horizontal="center" vertical="center"/>
      <protection locked="0"/>
    </xf>
    <xf numFmtId="0" fontId="131" fillId="4" borderId="6" xfId="0" applyFont="1" applyFill="1" applyBorder="1" applyAlignment="1" applyProtection="1">
      <alignment vertical="center"/>
      <protection locked="0"/>
    </xf>
    <xf numFmtId="0" fontId="11" fillId="4" borderId="5" xfId="12" applyNumberFormat="1" applyFont="1" applyFill="1" applyBorder="1" applyAlignment="1"/>
    <xf numFmtId="4" fontId="41" fillId="0" borderId="13" xfId="12" applyNumberFormat="1" applyFont="1" applyFill="1" applyBorder="1" applyAlignment="1">
      <alignment horizontal="center" vertical="center"/>
    </xf>
    <xf numFmtId="10" fontId="14" fillId="0" borderId="48" xfId="29" applyNumberFormat="1" applyFont="1" applyFill="1" applyBorder="1" applyAlignment="1">
      <alignment vertical="center"/>
    </xf>
    <xf numFmtId="4" fontId="21" fillId="0" borderId="5" xfId="12" applyNumberFormat="1" applyFont="1" applyBorder="1"/>
    <xf numFmtId="4" fontId="21" fillId="0" borderId="5" xfId="12" applyNumberFormat="1" applyFont="1" applyFill="1" applyBorder="1" applyAlignment="1">
      <alignment horizontal="center"/>
    </xf>
    <xf numFmtId="49" fontId="41" fillId="0" borderId="46" xfId="12" applyNumberFormat="1" applyFont="1" applyFill="1" applyBorder="1" applyAlignment="1">
      <alignment horizontal="left" vertical="top"/>
    </xf>
    <xf numFmtId="0" fontId="139" fillId="0" borderId="4" xfId="12" applyFont="1" applyFill="1" applyBorder="1" applyAlignment="1">
      <alignment horizontal="center" vertical="center"/>
    </xf>
    <xf numFmtId="4" fontId="139" fillId="0" borderId="5" xfId="12" applyNumberFormat="1" applyFont="1" applyFill="1" applyBorder="1" applyAlignment="1">
      <alignment horizontal="center" vertical="center"/>
    </xf>
    <xf numFmtId="4" fontId="139" fillId="0" borderId="13" xfId="12" applyNumberFormat="1" applyFont="1" applyFill="1" applyBorder="1" applyAlignment="1">
      <alignment horizontal="center" vertical="center"/>
    </xf>
    <xf numFmtId="10" fontId="139" fillId="0" borderId="13" xfId="29" applyNumberFormat="1" applyFont="1" applyFill="1" applyBorder="1" applyAlignment="1">
      <alignment horizontal="center" vertical="center"/>
    </xf>
    <xf numFmtId="10" fontId="140" fillId="0" borderId="6" xfId="29" applyNumberFormat="1" applyFont="1" applyFill="1" applyBorder="1" applyAlignment="1">
      <alignment horizontal="center" vertical="center"/>
    </xf>
    <xf numFmtId="10" fontId="139" fillId="0" borderId="5" xfId="29" applyNumberFormat="1" applyFont="1" applyFill="1" applyBorder="1" applyAlignment="1">
      <alignment horizontal="center" vertical="center"/>
    </xf>
    <xf numFmtId="0" fontId="141" fillId="0" borderId="0" xfId="12" applyFont="1" applyAlignment="1">
      <alignment horizontal="center" vertical="center"/>
    </xf>
    <xf numFmtId="0" fontId="142" fillId="0" borderId="0" xfId="12" applyFont="1" applyAlignment="1">
      <alignment horizontal="center" vertical="center"/>
    </xf>
    <xf numFmtId="0" fontId="59" fillId="0" borderId="0" xfId="19" applyFont="1"/>
    <xf numFmtId="0" fontId="61" fillId="0" borderId="0" xfId="19" applyFont="1" applyAlignment="1">
      <alignment vertical="center" wrapText="1"/>
    </xf>
    <xf numFmtId="166" fontId="61" fillId="0" borderId="0" xfId="19" applyNumberFormat="1" applyFont="1"/>
    <xf numFmtId="0" fontId="62" fillId="0" borderId="0" xfId="19" applyFont="1"/>
    <xf numFmtId="15" fontId="61" fillId="0" borderId="0" xfId="19" applyNumberFormat="1" applyFont="1"/>
    <xf numFmtId="2" fontId="14" fillId="0" borderId="0" xfId="30" applyNumberFormat="1"/>
    <xf numFmtId="4" fontId="14" fillId="0" borderId="0" xfId="14" applyNumberFormat="1"/>
    <xf numFmtId="10" fontId="14" fillId="0" borderId="0" xfId="30" applyNumberFormat="1"/>
    <xf numFmtId="4" fontId="77" fillId="0" borderId="0" xfId="14" applyNumberFormat="1" applyFont="1"/>
    <xf numFmtId="4" fontId="136" fillId="0" borderId="5" xfId="12" applyNumberFormat="1" applyFont="1" applyBorder="1"/>
    <xf numFmtId="4" fontId="127" fillId="0" borderId="0" xfId="12" applyNumberFormat="1" applyFont="1" applyAlignment="1">
      <alignment horizontal="center"/>
    </xf>
    <xf numFmtId="4" fontId="14" fillId="0" borderId="13" xfId="12" applyNumberFormat="1" applyFont="1" applyBorder="1" applyAlignment="1">
      <alignment horizontal="right"/>
    </xf>
    <xf numFmtId="4" fontId="14" fillId="0" borderId="5" xfId="12" applyNumberFormat="1" applyFont="1" applyBorder="1" applyAlignment="1">
      <alignment horizontal="right"/>
    </xf>
    <xf numFmtId="0" fontId="47" fillId="0" borderId="0" xfId="12" applyFont="1"/>
    <xf numFmtId="2" fontId="127" fillId="0" borderId="0" xfId="0" applyNumberFormat="1" applyFont="1" applyAlignment="1">
      <alignment vertical="top"/>
    </xf>
    <xf numFmtId="0" fontId="112" fillId="0" borderId="0" xfId="12" applyFont="1" applyBorder="1" applyAlignment="1">
      <alignment horizontal="center" vertical="center"/>
    </xf>
    <xf numFmtId="0" fontId="112" fillId="0" borderId="0" xfId="12" applyFont="1" applyBorder="1" applyAlignment="1">
      <alignment vertical="center"/>
    </xf>
    <xf numFmtId="0" fontId="14" fillId="0" borderId="0" xfId="42" applyAlignment="1">
      <alignment vertical="center"/>
    </xf>
    <xf numFmtId="0" fontId="149" fillId="0" borderId="0" xfId="42" applyFont="1" applyAlignment="1">
      <alignment vertical="center"/>
    </xf>
    <xf numFmtId="0" fontId="38" fillId="0" borderId="0" xfId="42" applyFont="1" applyAlignment="1">
      <alignment horizontal="center" vertical="center"/>
    </xf>
    <xf numFmtId="0" fontId="38" fillId="0" borderId="0" xfId="42" applyFont="1" applyAlignment="1">
      <alignment vertical="center"/>
    </xf>
    <xf numFmtId="0" fontId="39" fillId="0" borderId="0" xfId="42" applyFont="1" applyAlignment="1">
      <alignment vertical="center"/>
    </xf>
    <xf numFmtId="0" fontId="38" fillId="0" borderId="0" xfId="42" applyFont="1" applyAlignment="1">
      <alignment vertical="center" wrapText="1"/>
    </xf>
    <xf numFmtId="0" fontId="38" fillId="4" borderId="0" xfId="42" applyFont="1" applyFill="1" applyAlignment="1">
      <alignment vertical="center"/>
    </xf>
    <xf numFmtId="0" fontId="38" fillId="4" borderId="0" xfId="42" applyFont="1" applyFill="1" applyAlignment="1">
      <alignment vertical="center" wrapText="1"/>
    </xf>
    <xf numFmtId="0" fontId="39" fillId="4" borderId="0" xfId="42" applyFont="1" applyFill="1" applyAlignment="1">
      <alignment vertical="center" wrapText="1"/>
    </xf>
    <xf numFmtId="0" fontId="152" fillId="0" borderId="0" xfId="42" applyFont="1" applyAlignment="1">
      <alignment vertical="center"/>
    </xf>
    <xf numFmtId="0" fontId="39" fillId="0" borderId="0" xfId="42" applyFont="1" applyAlignment="1">
      <alignment horizontal="left" vertical="center" wrapText="1"/>
    </xf>
    <xf numFmtId="0" fontId="38" fillId="0" borderId="0" xfId="42" applyFont="1" applyAlignment="1">
      <alignment horizontal="left" vertical="center"/>
    </xf>
    <xf numFmtId="0" fontId="38" fillId="0" borderId="5" xfId="42" applyFont="1" applyBorder="1" applyAlignment="1">
      <alignment horizontal="center" vertical="center" wrapText="1"/>
    </xf>
    <xf numFmtId="0" fontId="39" fillId="0" borderId="0" xfId="42" applyFont="1" applyAlignment="1">
      <alignment vertical="center" wrapText="1"/>
    </xf>
    <xf numFmtId="0" fontId="39" fillId="0" borderId="5" xfId="42" applyFont="1" applyBorder="1" applyAlignment="1">
      <alignment horizontal="center" vertical="center" wrapText="1"/>
    </xf>
    <xf numFmtId="2" fontId="39" fillId="0" borderId="5" xfId="42" applyNumberFormat="1" applyFont="1" applyBorder="1" applyAlignment="1">
      <alignment horizontal="center" vertical="center" wrapText="1"/>
    </xf>
    <xf numFmtId="0" fontId="40" fillId="0" borderId="0" xfId="12" applyFont="1" applyAlignment="1">
      <alignment horizontal="right"/>
    </xf>
    <xf numFmtId="2" fontId="127" fillId="0" borderId="0" xfId="12" applyNumberFormat="1" applyFont="1" applyAlignment="1">
      <alignment horizontal="center"/>
    </xf>
    <xf numFmtId="10" fontId="17" fillId="0" borderId="0" xfId="41" applyNumberFormat="1" applyFont="1" applyFill="1" applyAlignment="1">
      <alignment horizontal="center"/>
    </xf>
    <xf numFmtId="10" fontId="17" fillId="0" borderId="0" xfId="41" applyNumberFormat="1" applyFont="1" applyAlignment="1">
      <alignment horizontal="center"/>
    </xf>
    <xf numFmtId="164" fontId="127" fillId="0" borderId="0" xfId="40" applyFont="1" applyAlignment="1">
      <alignment horizontal="right"/>
    </xf>
    <xf numFmtId="0" fontId="12" fillId="4" borderId="2" xfId="12" applyNumberFormat="1" applyFont="1" applyFill="1" applyBorder="1" applyAlignment="1">
      <alignment horizontal="left"/>
    </xf>
    <xf numFmtId="0" fontId="65" fillId="4" borderId="2" xfId="12" applyNumberFormat="1" applyFont="1" applyFill="1" applyBorder="1" applyAlignment="1">
      <alignment horizontal="center"/>
    </xf>
    <xf numFmtId="4" fontId="12" fillId="4" borderId="2" xfId="12" applyNumberFormat="1" applyFont="1" applyFill="1" applyBorder="1"/>
    <xf numFmtId="4" fontId="12" fillId="4" borderId="2" xfId="12" applyNumberFormat="1" applyFont="1" applyFill="1" applyBorder="1" applyAlignment="1">
      <alignment horizontal="center"/>
    </xf>
    <xf numFmtId="10" fontId="12" fillId="4" borderId="2" xfId="41" applyNumberFormat="1" applyFont="1" applyFill="1" applyBorder="1" applyAlignment="1"/>
    <xf numFmtId="10" fontId="12" fillId="4" borderId="2" xfId="12" applyNumberFormat="1" applyFont="1" applyFill="1" applyBorder="1" applyAlignment="1">
      <alignment horizontal="center"/>
    </xf>
    <xf numFmtId="0" fontId="65" fillId="4" borderId="5" xfId="12" applyNumberFormat="1" applyFont="1" applyFill="1" applyBorder="1" applyAlignment="1">
      <alignment horizontal="center"/>
    </xf>
    <xf numFmtId="4" fontId="11" fillId="4" borderId="5" xfId="12" applyNumberFormat="1" applyFont="1" applyFill="1" applyBorder="1"/>
    <xf numFmtId="4" fontId="11" fillId="4" borderId="5" xfId="12" applyNumberFormat="1" applyFont="1" applyFill="1" applyBorder="1" applyAlignment="1">
      <alignment horizontal="center"/>
    </xf>
    <xf numFmtId="10" fontId="11" fillId="4" borderId="5" xfId="12" applyNumberFormat="1" applyFont="1" applyFill="1" applyBorder="1" applyAlignment="1">
      <alignment horizontal="center"/>
    </xf>
    <xf numFmtId="10" fontId="11" fillId="4" borderId="6" xfId="27" applyNumberFormat="1" applyFont="1" applyFill="1" applyBorder="1"/>
    <xf numFmtId="0" fontId="65" fillId="4" borderId="5" xfId="12" applyNumberFormat="1" applyFont="1" applyFill="1" applyBorder="1" applyAlignment="1">
      <alignment horizontal="left"/>
    </xf>
    <xf numFmtId="177" fontId="11" fillId="4" borderId="5" xfId="12" applyNumberFormat="1" applyFont="1" applyFill="1" applyBorder="1" applyAlignment="1">
      <alignment horizontal="center"/>
    </xf>
    <xf numFmtId="0" fontId="12" fillId="4" borderId="5" xfId="12" applyFont="1" applyFill="1" applyBorder="1" applyAlignment="1">
      <alignment horizontal="left"/>
    </xf>
    <xf numFmtId="0" fontId="11" fillId="4" borderId="5" xfId="12" applyFont="1" applyFill="1" applyBorder="1" applyAlignment="1">
      <alignment horizontal="center"/>
    </xf>
    <xf numFmtId="4" fontId="12" fillId="4" borderId="5" xfId="12" applyNumberFormat="1" applyFont="1" applyFill="1" applyBorder="1"/>
    <xf numFmtId="4" fontId="12" fillId="4" borderId="5" xfId="12" applyNumberFormat="1" applyFont="1" applyFill="1" applyBorder="1" applyAlignment="1">
      <alignment horizontal="center"/>
    </xf>
    <xf numFmtId="4" fontId="12" fillId="4" borderId="5" xfId="12" applyNumberFormat="1" applyFont="1" applyFill="1" applyBorder="1" applyAlignment="1">
      <alignment horizontal="right"/>
    </xf>
    <xf numFmtId="10" fontId="12" fillId="4" borderId="6" xfId="27" applyNumberFormat="1" applyFont="1" applyFill="1" applyBorder="1"/>
    <xf numFmtId="10" fontId="14" fillId="0" borderId="0" xfId="34" applyNumberFormat="1" applyFont="1" applyBorder="1" applyAlignment="1">
      <alignment horizontal="center"/>
    </xf>
    <xf numFmtId="4" fontId="41" fillId="0" borderId="13" xfId="12" applyNumberFormat="1" applyFont="1" applyFill="1" applyBorder="1" applyAlignment="1">
      <alignment horizontal="center" vertical="center"/>
    </xf>
    <xf numFmtId="0" fontId="111" fillId="0" borderId="0" xfId="12" applyFont="1" applyBorder="1" applyAlignment="1">
      <alignment horizontal="center" vertical="center"/>
    </xf>
    <xf numFmtId="0" fontId="40" fillId="4" borderId="0" xfId="12" applyFont="1" applyFill="1" applyAlignment="1">
      <alignment horizontal="center"/>
    </xf>
    <xf numFmtId="0" fontId="127" fillId="4" borderId="0" xfId="12" applyFont="1" applyFill="1" applyAlignment="1">
      <alignment horizontal="center"/>
    </xf>
    <xf numFmtId="4" fontId="17" fillId="4" borderId="0" xfId="12" applyNumberFormat="1" applyFont="1" applyFill="1" applyAlignment="1">
      <alignment horizontal="center"/>
    </xf>
    <xf numFmtId="4" fontId="41" fillId="0" borderId="13" xfId="12" applyNumberFormat="1" applyFont="1" applyFill="1" applyBorder="1" applyAlignment="1">
      <alignment horizontal="center" vertical="center"/>
    </xf>
    <xf numFmtId="4" fontId="136" fillId="0" borderId="5" xfId="12" applyNumberFormat="1" applyFont="1" applyBorder="1" applyAlignment="1">
      <alignment horizontal="center"/>
    </xf>
    <xf numFmtId="4" fontId="41" fillId="0" borderId="5" xfId="12" applyNumberFormat="1" applyFont="1" applyBorder="1" applyAlignment="1">
      <alignment horizontal="center"/>
    </xf>
    <xf numFmtId="10" fontId="136" fillId="0" borderId="5" xfId="29" applyNumberFormat="1" applyFont="1" applyFill="1" applyBorder="1" applyAlignment="1">
      <alignment horizontal="center" vertical="center"/>
    </xf>
    <xf numFmtId="10" fontId="21" fillId="0" borderId="6" xfId="29" applyNumberFormat="1" applyFont="1" applyFill="1" applyBorder="1" applyAlignment="1">
      <alignment vertical="center"/>
    </xf>
    <xf numFmtId="0" fontId="127" fillId="2" borderId="21" xfId="12" applyFont="1" applyFill="1" applyBorder="1" applyAlignment="1">
      <alignment horizontal="center" vertical="center"/>
    </xf>
    <xf numFmtId="0" fontId="127" fillId="2" borderId="0" xfId="12" applyFont="1" applyFill="1" applyBorder="1" applyAlignment="1">
      <alignment horizontal="center" vertical="center"/>
    </xf>
    <xf numFmtId="0" fontId="40" fillId="2" borderId="22" xfId="12" applyFont="1" applyFill="1" applyBorder="1" applyAlignment="1">
      <alignment horizontal="center" vertical="center"/>
    </xf>
    <xf numFmtId="0" fontId="111" fillId="0" borderId="0" xfId="12" applyFont="1" applyAlignment="1">
      <alignment vertical="center"/>
    </xf>
    <xf numFmtId="4" fontId="41" fillId="0" borderId="13" xfId="12" applyNumberFormat="1" applyFont="1" applyFill="1" applyBorder="1" applyAlignment="1">
      <alignment horizontal="center" vertical="center"/>
    </xf>
    <xf numFmtId="4" fontId="14" fillId="0" borderId="43" xfId="14" applyNumberFormat="1" applyBorder="1"/>
    <xf numFmtId="10" fontId="14" fillId="0" borderId="0" xfId="30" applyNumberFormat="1" applyBorder="1"/>
    <xf numFmtId="10" fontId="14" fillId="0" borderId="85" xfId="14" applyNumberFormat="1" applyBorder="1"/>
    <xf numFmtId="10" fontId="15" fillId="0" borderId="0" xfId="34" applyNumberFormat="1" applyFont="1" applyBorder="1" applyAlignment="1">
      <alignment horizontal="center"/>
    </xf>
    <xf numFmtId="4" fontId="40" fillId="4" borderId="5" xfId="12" applyNumberFormat="1" applyFont="1" applyFill="1" applyBorder="1" applyAlignment="1" applyProtection="1">
      <alignment horizontal="center" vertical="center"/>
      <protection locked="0"/>
    </xf>
    <xf numFmtId="4" fontId="41" fillId="0" borderId="13" xfId="12" applyNumberFormat="1" applyFont="1" applyFill="1" applyBorder="1" applyAlignment="1">
      <alignment horizontal="center" vertical="center"/>
    </xf>
    <xf numFmtId="0" fontId="41" fillId="0" borderId="9" xfId="12" applyFont="1" applyBorder="1" applyAlignment="1">
      <alignment horizontal="left"/>
    </xf>
    <xf numFmtId="0" fontId="138" fillId="0" borderId="17" xfId="12" applyFont="1" applyBorder="1" applyAlignment="1">
      <alignment horizontal="left"/>
    </xf>
    <xf numFmtId="0" fontId="13" fillId="0" borderId="0" xfId="12" applyFont="1" applyAlignment="1"/>
    <xf numFmtId="10" fontId="21" fillId="0" borderId="6" xfId="29" applyNumberFormat="1" applyFont="1" applyFill="1" applyBorder="1" applyAlignment="1">
      <alignment horizontal="center" vertical="center"/>
    </xf>
    <xf numFmtId="0" fontId="137" fillId="0" borderId="4" xfId="12" applyFont="1" applyBorder="1" applyAlignment="1">
      <alignment horizontal="center" vertical="center"/>
    </xf>
    <xf numFmtId="9" fontId="17" fillId="0" borderId="0" xfId="41" applyFont="1"/>
    <xf numFmtId="0" fontId="13" fillId="0" borderId="0" xfId="12" applyFont="1" applyAlignment="1">
      <alignment horizontal="left" vertical="center"/>
    </xf>
    <xf numFmtId="0" fontId="14" fillId="0" borderId="5" xfId="14" applyBorder="1" applyAlignment="1">
      <alignment horizontal="center"/>
    </xf>
    <xf numFmtId="10" fontId="12" fillId="4" borderId="3" xfId="27" applyNumberFormat="1" applyFont="1" applyFill="1" applyBorder="1"/>
    <xf numFmtId="10" fontId="127" fillId="0" borderId="0" xfId="41" applyNumberFormat="1" applyFont="1" applyAlignment="1">
      <alignment horizontal="right"/>
    </xf>
    <xf numFmtId="0" fontId="61" fillId="0" borderId="0" xfId="58" applyFont="1" applyAlignment="1">
      <alignment horizontal="left" vertical="center"/>
    </xf>
    <xf numFmtId="0" fontId="61" fillId="0" borderId="0" xfId="58" applyFont="1" applyAlignment="1">
      <alignment horizontal="left"/>
    </xf>
    <xf numFmtId="0" fontId="13" fillId="6" borderId="25" xfId="14" applyFont="1" applyFill="1" applyBorder="1" applyAlignment="1">
      <alignment horizontal="center"/>
    </xf>
    <xf numFmtId="0" fontId="14" fillId="0" borderId="0" xfId="14" applyBorder="1" applyAlignment="1">
      <alignment horizontal="center" vertical="center"/>
    </xf>
    <xf numFmtId="0" fontId="13" fillId="6" borderId="71" xfId="14" applyFont="1" applyFill="1" applyBorder="1" applyAlignment="1">
      <alignment horizontal="center"/>
    </xf>
    <xf numFmtId="0" fontId="13" fillId="6" borderId="72" xfId="14" applyFont="1" applyFill="1" applyBorder="1" applyAlignment="1">
      <alignment horizontal="center"/>
    </xf>
    <xf numFmtId="0" fontId="13" fillId="6" borderId="73" xfId="14" applyFont="1" applyFill="1" applyBorder="1" applyAlignment="1">
      <alignment horizontal="center"/>
    </xf>
    <xf numFmtId="0" fontId="13" fillId="6" borderId="13" xfId="14" applyFont="1" applyFill="1" applyBorder="1" applyAlignment="1">
      <alignment horizontal="center"/>
    </xf>
    <xf numFmtId="0" fontId="13" fillId="6" borderId="74" xfId="14" applyFont="1" applyFill="1" applyBorder="1" applyAlignment="1">
      <alignment horizontal="center"/>
    </xf>
    <xf numFmtId="0" fontId="13" fillId="6" borderId="75" xfId="14" applyFont="1" applyFill="1" applyBorder="1" applyAlignment="1">
      <alignment horizontal="center"/>
    </xf>
    <xf numFmtId="0" fontId="13" fillId="6" borderId="76" xfId="14" applyFont="1" applyFill="1" applyBorder="1" applyAlignment="1">
      <alignment horizontal="center"/>
    </xf>
    <xf numFmtId="0" fontId="14" fillId="0" borderId="0" xfId="14" applyBorder="1" applyAlignment="1">
      <alignment horizontal="center"/>
    </xf>
    <xf numFmtId="4" fontId="15" fillId="0" borderId="5" xfId="14" applyNumberFormat="1" applyFont="1" applyBorder="1" applyAlignment="1">
      <alignment horizontal="center"/>
    </xf>
    <xf numFmtId="10" fontId="15" fillId="0" borderId="5" xfId="34" applyNumberFormat="1" applyFont="1" applyBorder="1" applyAlignment="1">
      <alignment horizontal="center"/>
    </xf>
    <xf numFmtId="0" fontId="14" fillId="0" borderId="5" xfId="14" applyBorder="1"/>
    <xf numFmtId="15" fontId="14" fillId="0" borderId="5" xfId="14" applyNumberFormat="1" applyBorder="1" applyAlignment="1">
      <alignment horizontal="center"/>
    </xf>
    <xf numFmtId="4" fontId="14" fillId="0" borderId="5" xfId="14" applyNumberFormat="1" applyBorder="1"/>
    <xf numFmtId="10" fontId="14" fillId="0" borderId="5" xfId="30" applyNumberFormat="1" applyBorder="1"/>
    <xf numFmtId="10" fontId="14" fillId="0" borderId="5" xfId="14" applyNumberFormat="1" applyBorder="1"/>
    <xf numFmtId="0" fontId="111" fillId="9" borderId="0" xfId="12" applyFont="1" applyFill="1" applyAlignment="1">
      <alignment vertical="center"/>
    </xf>
    <xf numFmtId="0" fontId="112" fillId="0" borderId="0" xfId="12" applyNumberFormat="1" applyFont="1" applyFill="1"/>
    <xf numFmtId="0" fontId="155" fillId="0" borderId="0" xfId="12" applyFont="1" applyBorder="1" applyAlignment="1" applyProtection="1">
      <alignment horizontal="center" vertical="center"/>
      <protection locked="0"/>
    </xf>
    <xf numFmtId="4" fontId="156" fillId="4" borderId="0" xfId="12" applyNumberFormat="1" applyFont="1" applyFill="1" applyBorder="1" applyAlignment="1">
      <alignment horizontal="center"/>
    </xf>
    <xf numFmtId="4" fontId="111" fillId="4" borderId="17" xfId="12" applyNumberFormat="1" applyFont="1" applyFill="1" applyBorder="1" applyAlignment="1">
      <alignment vertical="center"/>
    </xf>
    <xf numFmtId="4" fontId="142" fillId="0" borderId="10" xfId="12" applyNumberFormat="1" applyFont="1" applyBorder="1" applyAlignment="1">
      <alignment horizontal="center" vertical="center"/>
    </xf>
    <xf numFmtId="164" fontId="111" fillId="0" borderId="0" xfId="2" applyFont="1" applyFill="1" applyBorder="1" applyAlignment="1">
      <alignment horizontal="center" vertical="center"/>
    </xf>
    <xf numFmtId="4" fontId="111" fillId="0" borderId="0" xfId="12" applyNumberFormat="1" applyFont="1" applyFill="1" applyBorder="1" applyAlignment="1">
      <alignment horizontal="center" vertical="center"/>
    </xf>
    <xf numFmtId="10" fontId="111" fillId="0" borderId="0" xfId="12" applyNumberFormat="1" applyFont="1" applyFill="1" applyBorder="1" applyAlignment="1">
      <alignment horizontal="center" vertical="center"/>
    </xf>
    <xf numFmtId="0" fontId="112" fillId="0" borderId="0" xfId="12" applyFont="1" applyFill="1" applyBorder="1" applyAlignment="1">
      <alignment horizontal="center" vertical="center" wrapText="1"/>
    </xf>
    <xf numFmtId="10" fontId="111" fillId="0" borderId="0" xfId="29" applyNumberFormat="1" applyFont="1" applyFill="1" applyBorder="1" applyAlignment="1">
      <alignment horizontal="center" vertical="center"/>
    </xf>
    <xf numFmtId="164" fontId="111" fillId="0" borderId="0" xfId="12" applyNumberFormat="1" applyFont="1" applyFill="1" applyBorder="1" applyAlignment="1">
      <alignment horizontal="center" vertical="center"/>
    </xf>
    <xf numFmtId="9" fontId="111" fillId="0" borderId="0" xfId="29" applyFont="1" applyFill="1" applyBorder="1" applyAlignment="1">
      <alignment horizontal="center" vertical="center"/>
    </xf>
    <xf numFmtId="4" fontId="160" fillId="0" borderId="0" xfId="12" applyNumberFormat="1" applyFont="1" applyFill="1" applyBorder="1" applyAlignment="1">
      <alignment horizontal="center" vertical="center"/>
    </xf>
    <xf numFmtId="0" fontId="14" fillId="0" borderId="46" xfId="14" applyBorder="1" applyAlignment="1">
      <alignment vertical="center"/>
    </xf>
    <xf numFmtId="179" fontId="40" fillId="0" borderId="0" xfId="12" applyNumberFormat="1" applyFont="1" applyAlignment="1">
      <alignment horizontal="right"/>
    </xf>
    <xf numFmtId="0" fontId="40" fillId="0" borderId="0" xfId="12" applyFont="1" applyFill="1" applyAlignment="1">
      <alignment horizontal="center"/>
    </xf>
    <xf numFmtId="4" fontId="128" fillId="0" borderId="0" xfId="0" applyNumberFormat="1" applyFont="1" applyFill="1" applyAlignment="1">
      <alignment vertical="top"/>
    </xf>
    <xf numFmtId="4" fontId="11" fillId="0" borderId="5" xfId="12" applyNumberFormat="1" applyFont="1" applyFill="1" applyBorder="1" applyAlignment="1">
      <alignment horizontal="center"/>
    </xf>
    <xf numFmtId="0" fontId="127" fillId="4" borderId="0" xfId="12" applyFont="1" applyFill="1" applyAlignment="1">
      <alignment vertical="center"/>
    </xf>
    <xf numFmtId="0" fontId="40" fillId="4" borderId="0" xfId="12" applyFont="1" applyFill="1" applyAlignment="1">
      <alignment vertical="center"/>
    </xf>
    <xf numFmtId="4" fontId="134" fillId="4" borderId="4" xfId="0" applyNumberFormat="1" applyFont="1" applyFill="1" applyBorder="1" applyAlignment="1">
      <alignment vertical="center"/>
    </xf>
    <xf numFmtId="4" fontId="134" fillId="4" borderId="5" xfId="0" applyNumberFormat="1" applyFont="1" applyFill="1" applyBorder="1" applyAlignment="1">
      <alignment vertical="center"/>
    </xf>
    <xf numFmtId="0" fontId="39" fillId="4" borderId="4" xfId="0" applyFont="1" applyFill="1" applyBorder="1" applyAlignment="1">
      <alignment vertical="center"/>
    </xf>
    <xf numFmtId="0" fontId="39" fillId="4" borderId="5" xfId="0" applyFont="1" applyFill="1" applyBorder="1" applyAlignment="1">
      <alignment vertical="center"/>
    </xf>
    <xf numFmtId="4" fontId="127" fillId="4" borderId="0" xfId="12" applyNumberFormat="1" applyFont="1" applyFill="1" applyAlignment="1">
      <alignment vertical="center"/>
    </xf>
    <xf numFmtId="4" fontId="40" fillId="4" borderId="0" xfId="12" applyNumberFormat="1" applyFont="1" applyFill="1" applyAlignment="1">
      <alignment vertical="center"/>
    </xf>
    <xf numFmtId="4" fontId="135" fillId="4" borderId="0" xfId="12" applyNumberFormat="1" applyFont="1" applyFill="1" applyAlignment="1">
      <alignment vertical="center"/>
    </xf>
    <xf numFmtId="4" fontId="40" fillId="4" borderId="4" xfId="12" applyNumberFormat="1" applyFont="1" applyFill="1" applyBorder="1" applyAlignment="1">
      <alignment horizontal="center" vertical="center"/>
    </xf>
    <xf numFmtId="10" fontId="40" fillId="4" borderId="6" xfId="12" applyNumberFormat="1" applyFont="1" applyFill="1" applyBorder="1" applyAlignment="1">
      <alignment horizontal="center" vertical="center"/>
    </xf>
    <xf numFmtId="4" fontId="40" fillId="4" borderId="4" xfId="12" applyNumberFormat="1" applyFont="1" applyFill="1" applyBorder="1" applyAlignment="1">
      <alignment vertical="center"/>
    </xf>
    <xf numFmtId="10" fontId="40" fillId="4" borderId="6" xfId="12" applyNumberFormat="1" applyFont="1" applyFill="1" applyBorder="1" applyAlignment="1">
      <alignment vertical="center"/>
    </xf>
    <xf numFmtId="0" fontId="40" fillId="0" borderId="0" xfId="12" applyFont="1" applyFill="1" applyAlignment="1">
      <alignment vertical="center"/>
    </xf>
    <xf numFmtId="4" fontId="12" fillId="0" borderId="2" xfId="12" applyNumberFormat="1" applyFont="1" applyFill="1" applyBorder="1" applyAlignment="1">
      <alignment horizontal="center"/>
    </xf>
    <xf numFmtId="4" fontId="12" fillId="0" borderId="5" xfId="12" applyNumberFormat="1" applyFont="1" applyFill="1" applyBorder="1" applyAlignment="1">
      <alignment horizontal="center"/>
    </xf>
    <xf numFmtId="4" fontId="12" fillId="0" borderId="8" xfId="12" applyNumberFormat="1" applyFont="1" applyFill="1" applyBorder="1" applyAlignment="1">
      <alignment horizontal="center"/>
    </xf>
    <xf numFmtId="0" fontId="13" fillId="0" borderId="13" xfId="12" applyNumberFormat="1" applyFont="1" applyFill="1" applyBorder="1" applyAlignment="1">
      <alignment horizontal="center"/>
    </xf>
    <xf numFmtId="0" fontId="40" fillId="4" borderId="0" xfId="12" applyFont="1" applyFill="1" applyAlignment="1">
      <alignment horizontal="center" vertical="center"/>
    </xf>
    <xf numFmtId="0" fontId="127" fillId="4" borderId="0" xfId="12" applyFont="1" applyFill="1" applyAlignment="1">
      <alignment horizontal="center" vertical="center"/>
    </xf>
    <xf numFmtId="4" fontId="40" fillId="4" borderId="0" xfId="12" applyNumberFormat="1" applyFont="1" applyFill="1" applyAlignment="1">
      <alignment horizontal="center" vertical="center"/>
    </xf>
    <xf numFmtId="4" fontId="40" fillId="4" borderId="0" xfId="12" applyNumberFormat="1" applyFont="1" applyFill="1" applyAlignment="1">
      <alignment horizontal="center"/>
    </xf>
    <xf numFmtId="0" fontId="40" fillId="23" borderId="0" xfId="12" applyFont="1" applyFill="1" applyAlignment="1">
      <alignment horizontal="center"/>
    </xf>
    <xf numFmtId="10" fontId="12" fillId="23" borderId="2" xfId="12" applyNumberFormat="1" applyFont="1" applyFill="1" applyBorder="1" applyAlignment="1">
      <alignment horizontal="center"/>
    </xf>
    <xf numFmtId="4" fontId="17" fillId="23" borderId="0" xfId="12" applyNumberFormat="1" applyFont="1" applyFill="1" applyAlignment="1">
      <alignment horizontal="center"/>
    </xf>
    <xf numFmtId="10" fontId="17" fillId="23" borderId="0" xfId="41" applyNumberFormat="1" applyFont="1" applyFill="1" applyAlignment="1">
      <alignment horizontal="center"/>
    </xf>
    <xf numFmtId="0" fontId="40" fillId="23" borderId="0" xfId="12" applyFont="1" applyFill="1"/>
    <xf numFmtId="176" fontId="11" fillId="4" borderId="5" xfId="12" applyNumberFormat="1" applyFont="1" applyFill="1" applyBorder="1" applyAlignment="1">
      <alignment horizontal="center"/>
    </xf>
    <xf numFmtId="15" fontId="14" fillId="4" borderId="5" xfId="14" applyNumberFormat="1" applyFill="1" applyBorder="1" applyAlignment="1">
      <alignment horizontal="center"/>
    </xf>
    <xf numFmtId="4" fontId="14" fillId="4" borderId="5" xfId="14" applyNumberFormat="1" applyFill="1" applyBorder="1"/>
    <xf numFmtId="10" fontId="14" fillId="4" borderId="5" xfId="30" applyNumberFormat="1" applyFill="1" applyBorder="1"/>
    <xf numFmtId="10" fontId="14" fillId="4" borderId="5" xfId="14" applyNumberFormat="1" applyFill="1" applyBorder="1"/>
    <xf numFmtId="10" fontId="15" fillId="4" borderId="5" xfId="34" applyNumberFormat="1" applyFont="1" applyFill="1" applyBorder="1" applyAlignment="1">
      <alignment horizontal="center"/>
    </xf>
    <xf numFmtId="10" fontId="14" fillId="4" borderId="0" xfId="34" applyNumberFormat="1" applyFont="1" applyFill="1" applyBorder="1" applyAlignment="1">
      <alignment horizontal="center"/>
    </xf>
    <xf numFmtId="0" fontId="14" fillId="4" borderId="0" xfId="14" applyFill="1"/>
    <xf numFmtId="4" fontId="14" fillId="4" borderId="0" xfId="14" applyNumberFormat="1" applyFill="1"/>
    <xf numFmtId="14" fontId="15" fillId="4" borderId="0" xfId="12" applyNumberFormat="1" applyFont="1" applyFill="1" applyAlignment="1">
      <alignment horizontal="left" vertical="center"/>
    </xf>
    <xf numFmtId="164" fontId="17" fillId="0" borderId="0" xfId="40" applyFont="1" applyFill="1" applyAlignment="1">
      <alignment horizontal="center"/>
    </xf>
    <xf numFmtId="0" fontId="157" fillId="0" borderId="0" xfId="12" applyFont="1" applyAlignment="1">
      <alignment horizontal="center" vertical="center"/>
    </xf>
    <xf numFmtId="0" fontId="111" fillId="0" borderId="0" xfId="42" applyFont="1" applyAlignment="1">
      <alignment horizontal="center" vertical="center"/>
    </xf>
    <xf numFmtId="0" fontId="111" fillId="9" borderId="0" xfId="42" applyFont="1" applyFill="1" applyBorder="1" applyAlignment="1">
      <alignment vertical="center"/>
    </xf>
    <xf numFmtId="0" fontId="111" fillId="0" borderId="0" xfId="42" applyFont="1" applyFill="1" applyBorder="1" applyAlignment="1">
      <alignment horizontal="center" vertical="center"/>
    </xf>
    <xf numFmtId="0" fontId="111" fillId="0" borderId="0" xfId="42" applyFont="1" applyFill="1" applyBorder="1" applyAlignment="1">
      <alignment vertical="center"/>
    </xf>
    <xf numFmtId="0" fontId="111" fillId="0" borderId="0" xfId="42" applyFont="1" applyBorder="1" applyAlignment="1">
      <alignment horizontal="center" vertical="center"/>
    </xf>
    <xf numFmtId="166" fontId="111" fillId="9" borderId="0" xfId="42" applyNumberFormat="1" applyFont="1" applyFill="1" applyBorder="1" applyAlignment="1">
      <alignment horizontal="center" vertical="center"/>
    </xf>
    <xf numFmtId="0" fontId="111" fillId="9" borderId="0" xfId="42" applyFont="1" applyFill="1" applyBorder="1"/>
    <xf numFmtId="0" fontId="111" fillId="0" borderId="0" xfId="42" applyFont="1" applyFill="1"/>
    <xf numFmtId="0" fontId="111" fillId="0" borderId="0" xfId="42" applyFont="1" applyAlignment="1">
      <alignment vertical="center"/>
    </xf>
    <xf numFmtId="0" fontId="112" fillId="0" borderId="0" xfId="42" applyFont="1" applyAlignment="1">
      <alignment vertical="center"/>
    </xf>
    <xf numFmtId="0" fontId="112" fillId="0" borderId="0" xfId="42" applyFont="1" applyAlignment="1">
      <alignment horizontal="center" vertical="center"/>
    </xf>
    <xf numFmtId="0" fontId="111" fillId="0" borderId="0" xfId="42" applyFont="1"/>
    <xf numFmtId="0" fontId="111" fillId="0" borderId="0" xfId="42" applyFont="1" applyAlignment="1">
      <alignment horizontal="left" vertical="center"/>
    </xf>
    <xf numFmtId="0" fontId="112" fillId="0" borderId="0" xfId="42" applyFont="1" applyFill="1" applyAlignment="1">
      <alignment horizontal="center" vertical="center"/>
    </xf>
    <xf numFmtId="0" fontId="111" fillId="0" borderId="0" xfId="42" applyFont="1" applyFill="1" applyAlignment="1">
      <alignment horizontal="center" vertical="center"/>
    </xf>
    <xf numFmtId="0" fontId="111" fillId="0" borderId="0" xfId="42" applyFont="1" applyFill="1" applyAlignment="1">
      <alignment vertical="center"/>
    </xf>
    <xf numFmtId="4" fontId="111" fillId="4" borderId="10" xfId="12" applyNumberFormat="1" applyFont="1" applyFill="1" applyBorder="1" applyAlignment="1">
      <alignment vertical="center"/>
    </xf>
    <xf numFmtId="171" fontId="143" fillId="0" borderId="0" xfId="58" applyNumberFormat="1" applyFont="1" applyAlignment="1"/>
    <xf numFmtId="167" fontId="143" fillId="4" borderId="0" xfId="58" applyNumberFormat="1" applyFont="1" applyFill="1" applyAlignment="1"/>
    <xf numFmtId="0" fontId="143" fillId="0" borderId="0" xfId="58" applyFont="1" applyAlignment="1"/>
    <xf numFmtId="0" fontId="143" fillId="4" borderId="0" xfId="58" applyFont="1" applyFill="1" applyAlignment="1"/>
    <xf numFmtId="0" fontId="141" fillId="4" borderId="0" xfId="12" applyFont="1" applyFill="1" applyAlignment="1">
      <alignment horizontal="center" vertical="center"/>
    </xf>
    <xf numFmtId="0" fontId="141" fillId="7" borderId="0" xfId="12" applyFont="1" applyFill="1" applyAlignment="1">
      <alignment horizontal="center" vertical="center"/>
    </xf>
    <xf numFmtId="4" fontId="47" fillId="0" borderId="0" xfId="0" applyNumberFormat="1" applyFont="1"/>
    <xf numFmtId="4" fontId="40" fillId="23" borderId="4" xfId="0" applyNumberFormat="1" applyFont="1" applyFill="1" applyBorder="1" applyAlignment="1">
      <alignment horizontal="center" vertical="center"/>
    </xf>
    <xf numFmtId="14" fontId="40" fillId="25" borderId="0" xfId="12" applyNumberFormat="1" applyFont="1" applyFill="1" applyAlignment="1">
      <alignment horizontal="left"/>
    </xf>
    <xf numFmtId="4" fontId="40" fillId="25" borderId="0" xfId="12" applyNumberFormat="1" applyFont="1" applyFill="1"/>
    <xf numFmtId="0" fontId="15" fillId="25" borderId="13" xfId="12" applyNumberFormat="1" applyFont="1" applyFill="1" applyBorder="1" applyAlignment="1">
      <alignment horizontal="center" vertical="center"/>
    </xf>
    <xf numFmtId="4" fontId="17" fillId="25" borderId="0" xfId="12" applyNumberFormat="1" applyFont="1" applyFill="1"/>
    <xf numFmtId="0" fontId="17" fillId="25" borderId="0" xfId="12" applyFont="1" applyFill="1" applyAlignment="1"/>
    <xf numFmtId="4" fontId="134" fillId="4" borderId="9" xfId="0" applyNumberFormat="1" applyFont="1" applyFill="1" applyBorder="1" applyAlignment="1">
      <alignment vertical="center"/>
    </xf>
    <xf numFmtId="166" fontId="17" fillId="4" borderId="0" xfId="12" applyNumberFormat="1" applyFont="1" applyFill="1"/>
    <xf numFmtId="4" fontId="134" fillId="4" borderId="17" xfId="0" applyNumberFormat="1" applyFont="1" applyFill="1" applyBorder="1" applyAlignment="1">
      <alignment vertical="center"/>
    </xf>
    <xf numFmtId="10" fontId="142" fillId="0" borderId="9" xfId="29" applyNumberFormat="1" applyFont="1" applyFill="1" applyBorder="1" applyAlignment="1">
      <alignment horizontal="center" vertical="center"/>
    </xf>
    <xf numFmtId="10" fontId="142" fillId="0" borderId="17" xfId="29" applyNumberFormat="1" applyFont="1" applyFill="1" applyBorder="1" applyAlignment="1">
      <alignment horizontal="center" vertical="center"/>
    </xf>
    <xf numFmtId="0" fontId="111" fillId="0" borderId="0" xfId="12" applyFont="1" applyBorder="1" applyAlignment="1">
      <alignment vertical="center"/>
    </xf>
    <xf numFmtId="0" fontId="111" fillId="0" borderId="0" xfId="12" applyFont="1" applyAlignment="1">
      <alignment horizontal="center" vertical="center"/>
    </xf>
    <xf numFmtId="164" fontId="111" fillId="0" borderId="0" xfId="12" applyNumberFormat="1" applyFont="1" applyAlignment="1">
      <alignment horizontal="center" vertical="center"/>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4" fontId="142" fillId="4" borderId="9" xfId="12" applyNumberFormat="1" applyFont="1" applyFill="1" applyBorder="1" applyAlignment="1">
      <alignment horizontal="center" vertical="center"/>
    </xf>
    <xf numFmtId="4" fontId="142" fillId="4" borderId="10" xfId="12" applyNumberFormat="1" applyFont="1" applyFill="1" applyBorder="1" applyAlignment="1">
      <alignment horizontal="center" vertical="center"/>
    </xf>
    <xf numFmtId="4" fontId="142" fillId="4" borderId="17" xfId="12" applyNumberFormat="1" applyFont="1" applyFill="1" applyBorder="1" applyAlignment="1">
      <alignment horizontal="center" vertical="center"/>
    </xf>
    <xf numFmtId="10" fontId="142" fillId="4" borderId="9" xfId="29" applyNumberFormat="1" applyFont="1" applyFill="1" applyBorder="1" applyAlignment="1">
      <alignment horizontal="center" vertical="center"/>
    </xf>
    <xf numFmtId="10" fontId="142" fillId="4" borderId="17" xfId="29" applyNumberFormat="1" applyFont="1" applyFill="1" applyBorder="1" applyAlignment="1">
      <alignment horizontal="center" vertical="center"/>
    </xf>
    <xf numFmtId="10" fontId="142" fillId="4" borderId="58" xfId="29" applyNumberFormat="1" applyFont="1" applyFill="1" applyBorder="1" applyAlignment="1">
      <alignment horizontal="center" vertical="center"/>
    </xf>
    <xf numFmtId="4" fontId="142" fillId="0" borderId="9" xfId="12" applyNumberFormat="1" applyFont="1" applyFill="1" applyBorder="1" applyAlignment="1">
      <alignment horizontal="center" vertical="center"/>
    </xf>
    <xf numFmtId="4" fontId="142" fillId="0" borderId="10" xfId="12" applyNumberFormat="1" applyFont="1" applyFill="1" applyBorder="1" applyAlignment="1">
      <alignment horizontal="center" vertical="center"/>
    </xf>
    <xf numFmtId="4" fontId="142" fillId="0" borderId="17" xfId="12" applyNumberFormat="1" applyFont="1" applyFill="1" applyBorder="1" applyAlignment="1">
      <alignment horizontal="center" vertical="center"/>
    </xf>
    <xf numFmtId="164" fontId="142" fillId="4" borderId="9" xfId="12" applyNumberFormat="1" applyFont="1" applyFill="1" applyBorder="1" applyAlignment="1">
      <alignment horizontal="center" vertical="center"/>
    </xf>
    <xf numFmtId="164" fontId="142" fillId="4" borderId="10" xfId="12" applyNumberFormat="1" applyFont="1" applyFill="1" applyBorder="1" applyAlignment="1">
      <alignment horizontal="center" vertical="center"/>
    </xf>
    <xf numFmtId="164" fontId="142" fillId="4" borderId="17" xfId="12"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0" fontId="111" fillId="9" borderId="0" xfId="42" applyFont="1" applyFill="1" applyAlignment="1">
      <alignment horizontal="left" vertical="center"/>
    </xf>
    <xf numFmtId="0" fontId="123" fillId="9" borderId="0" xfId="42" applyFont="1" applyFill="1" applyAlignment="1">
      <alignment horizontal="left" vertical="center"/>
    </xf>
    <xf numFmtId="164" fontId="112" fillId="0" borderId="5" xfId="2" applyFont="1" applyBorder="1" applyAlignment="1">
      <alignment vertical="center"/>
    </xf>
    <xf numFmtId="0" fontId="112" fillId="10" borderId="5" xfId="12" applyFont="1" applyFill="1" applyBorder="1" applyAlignment="1">
      <alignment horizontal="center" vertical="center"/>
    </xf>
    <xf numFmtId="164" fontId="111" fillId="0" borderId="5" xfId="2" applyFont="1" applyBorder="1" applyAlignment="1">
      <alignment vertical="center"/>
    </xf>
    <xf numFmtId="164" fontId="111" fillId="0" borderId="5" xfId="2" applyNumberFormat="1" applyFont="1" applyBorder="1" applyAlignment="1">
      <alignment vertical="center"/>
    </xf>
    <xf numFmtId="4" fontId="111" fillId="4" borderId="5" xfId="12" applyNumberFormat="1" applyFont="1" applyFill="1" applyBorder="1" applyAlignment="1">
      <alignment vertical="center"/>
    </xf>
    <xf numFmtId="0" fontId="111" fillId="0" borderId="5" xfId="42" applyFont="1" applyBorder="1"/>
    <xf numFmtId="166" fontId="112" fillId="0" borderId="5" xfId="12" applyNumberFormat="1" applyFont="1" applyBorder="1" applyAlignment="1">
      <alignment vertical="center"/>
    </xf>
    <xf numFmtId="0" fontId="111" fillId="0" borderId="0" xfId="42" applyFont="1" applyFill="1" applyBorder="1" applyAlignment="1">
      <alignment horizontal="center" vertical="center" wrapText="1"/>
    </xf>
    <xf numFmtId="0" fontId="111" fillId="0" borderId="0" xfId="42" applyFont="1" applyFill="1" applyAlignment="1">
      <alignment horizontal="right"/>
    </xf>
    <xf numFmtId="0" fontId="111" fillId="9" borderId="0" xfId="42" applyFont="1" applyFill="1"/>
    <xf numFmtId="0" fontId="112" fillId="0" borderId="0" xfId="42" applyFont="1" applyFill="1" applyBorder="1" applyAlignment="1">
      <alignment vertical="center" wrapText="1"/>
    </xf>
    <xf numFmtId="0" fontId="111" fillId="0" borderId="0" xfId="42" applyFont="1" applyFill="1" applyBorder="1" applyAlignment="1">
      <alignment vertical="center" wrapText="1"/>
    </xf>
    <xf numFmtId="0" fontId="154" fillId="0" borderId="4" xfId="42" applyFont="1" applyBorder="1" applyAlignment="1" applyProtection="1">
      <alignment vertical="center"/>
      <protection locked="0"/>
    </xf>
    <xf numFmtId="4" fontId="156" fillId="4" borderId="17" xfId="42" applyNumberFormat="1" applyFont="1" applyFill="1" applyBorder="1" applyAlignment="1">
      <alignment horizontal="center"/>
    </xf>
    <xf numFmtId="49" fontId="111" fillId="4" borderId="9" xfId="42" applyNumberFormat="1" applyFont="1" applyFill="1" applyBorder="1" applyAlignment="1">
      <alignment horizontal="center"/>
    </xf>
    <xf numFmtId="49" fontId="111" fillId="4" borderId="10" xfId="42" applyNumberFormat="1" applyFont="1" applyFill="1" applyBorder="1" applyAlignment="1">
      <alignment horizontal="center"/>
    </xf>
    <xf numFmtId="49" fontId="111" fillId="4" borderId="17" xfId="42" applyNumberFormat="1" applyFont="1" applyFill="1" applyBorder="1" applyAlignment="1">
      <alignment horizontal="center"/>
    </xf>
    <xf numFmtId="49" fontId="157" fillId="4" borderId="0" xfId="42" applyNumberFormat="1" applyFont="1" applyFill="1" applyBorder="1" applyAlignment="1">
      <alignment horizontal="left"/>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0" xfId="42" applyFont="1" applyBorder="1" applyAlignment="1" applyProtection="1">
      <alignment vertical="center"/>
      <protection locked="0"/>
    </xf>
    <xf numFmtId="0" fontId="155" fillId="4" borderId="0" xfId="42" applyFont="1" applyFill="1" applyBorder="1" applyAlignment="1" applyProtection="1">
      <alignment vertical="center"/>
      <protection locked="0"/>
    </xf>
    <xf numFmtId="0" fontId="154" fillId="4" borderId="0" xfId="42" applyFont="1" applyFill="1" applyBorder="1" applyAlignment="1" applyProtection="1">
      <alignment horizontal="left" vertical="center"/>
      <protection locked="0"/>
    </xf>
    <xf numFmtId="49" fontId="111" fillId="4" borderId="0" xfId="42" applyNumberFormat="1" applyFont="1" applyFill="1" applyBorder="1" applyAlignment="1">
      <alignment horizontal="center"/>
    </xf>
    <xf numFmtId="49" fontId="157" fillId="4" borderId="0" xfId="42" applyNumberFormat="1" applyFont="1" applyFill="1" applyBorder="1" applyAlignment="1">
      <alignment horizontal="center"/>
    </xf>
    <xf numFmtId="0" fontId="111" fillId="9" borderId="0" xfId="42" applyFont="1" applyFill="1" applyBorder="1" applyAlignment="1">
      <alignment vertical="top"/>
    </xf>
    <xf numFmtId="0" fontId="111" fillId="4" borderId="0" xfId="42" applyFont="1" applyFill="1" applyBorder="1" applyAlignment="1">
      <alignment vertical="top" wrapText="1"/>
    </xf>
    <xf numFmtId="9" fontId="111" fillId="0" borderId="0" xfId="27" applyFont="1"/>
    <xf numFmtId="4" fontId="112" fillId="0" borderId="0" xfId="42" applyNumberFormat="1" applyFont="1"/>
    <xf numFmtId="0" fontId="112" fillId="0" borderId="0" xfId="42" applyFont="1"/>
    <xf numFmtId="0" fontId="111" fillId="4" borderId="0" xfId="42" applyFont="1" applyFill="1"/>
    <xf numFmtId="0" fontId="111" fillId="7" borderId="0" xfId="42" applyFont="1" applyFill="1"/>
    <xf numFmtId="164" fontId="111" fillId="0" borderId="0" xfId="42" applyNumberFormat="1" applyFont="1"/>
    <xf numFmtId="0" fontId="112" fillId="9" borderId="0" xfId="42" applyFont="1" applyFill="1" applyBorder="1"/>
    <xf numFmtId="0" fontId="111" fillId="0" borderId="5" xfId="42" applyFont="1" applyBorder="1" applyAlignment="1">
      <alignment horizontal="center" vertical="center"/>
    </xf>
    <xf numFmtId="0" fontId="125" fillId="0" borderId="0" xfId="42" applyFont="1" applyFill="1" applyBorder="1" applyAlignment="1">
      <alignment horizontal="center" vertical="center"/>
    </xf>
    <xf numFmtId="4" fontId="111" fillId="0" borderId="0" xfId="42" applyNumberFormat="1" applyFont="1"/>
    <xf numFmtId="164" fontId="111" fillId="0" borderId="0" xfId="2" applyFont="1"/>
    <xf numFmtId="0" fontId="111" fillId="4" borderId="0" xfId="42" applyFont="1" applyFill="1" applyAlignment="1">
      <alignment horizontal="center" vertical="center"/>
    </xf>
    <xf numFmtId="0" fontId="111" fillId="4" borderId="0" xfId="42" applyFont="1" applyFill="1" applyBorder="1" applyAlignment="1">
      <alignment vertical="top"/>
    </xf>
    <xf numFmtId="0" fontId="111" fillId="0" borderId="0" xfId="42" applyFont="1" applyBorder="1" applyAlignment="1">
      <alignment horizontal="left" vertical="center" wrapText="1"/>
    </xf>
    <xf numFmtId="10" fontId="157" fillId="0" borderId="0" xfId="41" applyNumberFormat="1" applyFont="1" applyAlignment="1">
      <alignment horizontal="center" vertical="center"/>
    </xf>
    <xf numFmtId="164" fontId="14" fillId="0" borderId="0" xfId="2" applyFont="1" applyBorder="1" applyAlignment="1">
      <alignment horizontal="center"/>
    </xf>
    <xf numFmtId="0" fontId="70" fillId="4" borderId="1" xfId="0" applyFont="1" applyFill="1" applyBorder="1" applyAlignment="1" applyProtection="1">
      <alignment vertical="center"/>
      <protection locked="0"/>
    </xf>
    <xf numFmtId="0" fontId="70" fillId="4" borderId="2" xfId="0" applyFont="1" applyFill="1" applyBorder="1" applyAlignment="1" applyProtection="1">
      <alignment vertical="center"/>
      <protection locked="0"/>
    </xf>
    <xf numFmtId="0" fontId="70" fillId="4" borderId="3" xfId="0" applyFont="1" applyFill="1" applyBorder="1" applyAlignment="1" applyProtection="1">
      <alignment vertical="center"/>
      <protection locked="0"/>
    </xf>
    <xf numFmtId="0" fontId="131" fillId="4" borderId="4" xfId="0" applyFont="1" applyFill="1" applyBorder="1" applyAlignment="1" applyProtection="1">
      <alignment horizontal="left" vertical="center"/>
      <protection locked="0"/>
    </xf>
    <xf numFmtId="0" fontId="88" fillId="4" borderId="5" xfId="0" applyFont="1" applyFill="1" applyBorder="1" applyAlignment="1" applyProtection="1">
      <alignment horizontal="left" vertical="center" wrapText="1"/>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132" fillId="4" borderId="4" xfId="0" applyFont="1" applyFill="1" applyBorder="1" applyAlignment="1" applyProtection="1">
      <alignment vertical="center"/>
      <protection locked="0"/>
    </xf>
    <xf numFmtId="0" fontId="132" fillId="4" borderId="5" xfId="0" applyFont="1" applyFill="1" applyBorder="1" applyAlignment="1" applyProtection="1">
      <alignment vertical="center"/>
      <protection locked="0"/>
    </xf>
    <xf numFmtId="0" fontId="132" fillId="4" borderId="6" xfId="0" applyFont="1" applyFill="1" applyBorder="1" applyAlignment="1" applyProtection="1">
      <alignment horizontal="center" vertical="center"/>
      <protection locked="0"/>
    </xf>
    <xf numFmtId="0" fontId="13" fillId="4" borderId="4" xfId="0" applyFont="1" applyFill="1" applyBorder="1" applyAlignment="1" applyProtection="1">
      <alignment vertical="center"/>
      <protection locked="0"/>
    </xf>
    <xf numFmtId="0" fontId="13" fillId="4" borderId="5" xfId="0" applyFont="1" applyFill="1" applyBorder="1" applyAlignment="1" applyProtection="1">
      <alignment vertical="center"/>
      <protection locked="0"/>
    </xf>
    <xf numFmtId="0" fontId="13" fillId="4" borderId="6" xfId="0" applyFont="1" applyFill="1" applyBorder="1" applyAlignment="1" applyProtection="1">
      <alignment horizontal="center" vertical="center"/>
      <protection locked="0"/>
    </xf>
    <xf numFmtId="0" fontId="70" fillId="4" borderId="4"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4" fontId="134" fillId="4" borderId="36" xfId="0" applyNumberFormat="1" applyFont="1" applyFill="1" applyBorder="1" applyAlignment="1">
      <alignment vertical="center"/>
    </xf>
    <xf numFmtId="0" fontId="70" fillId="4" borderId="4" xfId="0" quotePrefix="1" applyFont="1" applyFill="1" applyBorder="1" applyAlignment="1" applyProtection="1">
      <alignment vertical="center"/>
      <protection locked="0"/>
    </xf>
    <xf numFmtId="0" fontId="70" fillId="4" borderId="9" xfId="0" applyFont="1" applyFill="1" applyBorder="1" applyAlignment="1" applyProtection="1">
      <alignment vertical="center"/>
      <protection locked="0"/>
    </xf>
    <xf numFmtId="4" fontId="134" fillId="4" borderId="5" xfId="0" applyNumberFormat="1" applyFont="1" applyFill="1" applyBorder="1" applyAlignment="1">
      <alignment vertical="top"/>
    </xf>
    <xf numFmtId="0" fontId="88" fillId="4" borderId="4" xfId="0" quotePrefix="1" applyFont="1" applyFill="1" applyBorder="1" applyAlignment="1" applyProtection="1">
      <alignment vertical="center"/>
      <protection locked="0"/>
    </xf>
    <xf numFmtId="0" fontId="88" fillId="4" borderId="9" xfId="0" applyFont="1" applyFill="1" applyBorder="1" applyAlignment="1" applyProtection="1">
      <alignment vertical="center"/>
      <protection locked="0"/>
    </xf>
    <xf numFmtId="0" fontId="88" fillId="4" borderId="7" xfId="0" quotePrefix="1" applyFont="1" applyFill="1" applyBorder="1" applyAlignment="1" applyProtection="1">
      <alignment vertical="center"/>
      <protection locked="0"/>
    </xf>
    <xf numFmtId="0" fontId="88" fillId="4" borderId="63" xfId="0" applyFont="1" applyFill="1" applyBorder="1" applyAlignment="1" applyProtection="1">
      <alignment vertical="center"/>
      <protection locked="0"/>
    </xf>
    <xf numFmtId="0" fontId="19" fillId="4" borderId="0" xfId="12" applyFont="1" applyFill="1" applyBorder="1" applyAlignment="1" applyProtection="1">
      <alignment vertical="center"/>
      <protection locked="0"/>
    </xf>
    <xf numFmtId="0" fontId="13" fillId="4" borderId="0" xfId="12" applyNumberFormat="1" applyFont="1" applyFill="1" applyBorder="1" applyAlignment="1">
      <alignment horizontal="right"/>
    </xf>
    <xf numFmtId="0" fontId="15" fillId="4" borderId="0" xfId="12" applyNumberFormat="1" applyFont="1" applyFill="1" applyBorder="1" applyAlignment="1">
      <alignment horizontal="center"/>
    </xf>
    <xf numFmtId="0" fontId="15" fillId="4" borderId="0" xfId="12" applyNumberFormat="1" applyFont="1" applyFill="1" applyBorder="1" applyAlignment="1">
      <alignment horizontal="center" vertical="center"/>
    </xf>
    <xf numFmtId="0" fontId="15" fillId="25" borderId="0" xfId="12" applyNumberFormat="1" applyFont="1" applyFill="1" applyBorder="1" applyAlignment="1">
      <alignment horizontal="center" vertical="center"/>
    </xf>
    <xf numFmtId="0" fontId="15" fillId="4" borderId="0" xfId="12" applyNumberFormat="1" applyFont="1" applyFill="1" applyBorder="1"/>
    <xf numFmtId="0" fontId="13" fillId="4" borderId="0" xfId="12" applyNumberFormat="1" applyFont="1" applyFill="1" applyBorder="1" applyAlignment="1">
      <alignment horizontal="center"/>
    </xf>
    <xf numFmtId="4" fontId="15" fillId="4" borderId="0" xfId="12" applyNumberFormat="1" applyFont="1" applyFill="1" applyBorder="1" applyAlignment="1">
      <alignment horizontal="center"/>
    </xf>
    <xf numFmtId="0" fontId="13" fillId="23" borderId="0" xfId="12" applyNumberFormat="1" applyFont="1" applyFill="1" applyBorder="1" applyAlignment="1">
      <alignment horizontal="center"/>
    </xf>
    <xf numFmtId="0" fontId="13" fillId="0" borderId="0" xfId="12" applyNumberFormat="1" applyFont="1" applyFill="1" applyBorder="1" applyAlignment="1">
      <alignment horizontal="center"/>
    </xf>
    <xf numFmtId="0" fontId="165" fillId="4" borderId="0" xfId="12" applyFont="1" applyFill="1" applyBorder="1" applyAlignment="1" applyProtection="1">
      <alignment horizontal="right" vertical="center"/>
      <protection locked="0"/>
    </xf>
    <xf numFmtId="0" fontId="48" fillId="4" borderId="0" xfId="12" applyNumberFormat="1" applyFont="1" applyFill="1" applyBorder="1" applyAlignment="1">
      <alignment horizontal="left"/>
    </xf>
    <xf numFmtId="4" fontId="134" fillId="0" borderId="5" xfId="0" applyNumberFormat="1" applyFont="1" applyBorder="1" applyAlignment="1">
      <alignment vertical="top"/>
    </xf>
    <xf numFmtId="4" fontId="134" fillId="0" borderId="25" xfId="0" applyNumberFormat="1" applyFont="1" applyBorder="1" applyAlignment="1">
      <alignment vertical="top"/>
    </xf>
    <xf numFmtId="0" fontId="127" fillId="26" borderId="0" xfId="12" applyFont="1" applyFill="1" applyAlignment="1">
      <alignment horizontal="center"/>
    </xf>
    <xf numFmtId="0" fontId="40" fillId="26" borderId="0" xfId="12" applyFont="1" applyFill="1"/>
    <xf numFmtId="4" fontId="40" fillId="26" borderId="0" xfId="12" applyNumberFormat="1" applyFont="1" applyFill="1"/>
    <xf numFmtId="4" fontId="134" fillId="26" borderId="9" xfId="0" applyNumberFormat="1" applyFont="1" applyFill="1" applyBorder="1" applyAlignment="1">
      <alignment vertical="center"/>
    </xf>
    <xf numFmtId="4" fontId="12" fillId="26" borderId="2" xfId="12" applyNumberFormat="1" applyFont="1" applyFill="1" applyBorder="1"/>
    <xf numFmtId="0" fontId="15" fillId="26" borderId="13" xfId="12" applyNumberFormat="1" applyFont="1" applyFill="1" applyBorder="1"/>
    <xf numFmtId="0" fontId="15" fillId="26" borderId="0" xfId="12" applyNumberFormat="1" applyFont="1" applyFill="1" applyBorder="1"/>
    <xf numFmtId="4" fontId="17" fillId="26" borderId="0" xfId="12" applyNumberFormat="1" applyFont="1" applyFill="1"/>
    <xf numFmtId="4" fontId="47" fillId="26" borderId="0" xfId="0" applyNumberFormat="1" applyFont="1" applyFill="1"/>
    <xf numFmtId="0" fontId="17" fillId="26" borderId="0" xfId="12" applyFont="1" applyFill="1" applyAlignment="1"/>
    <xf numFmtId="4" fontId="65" fillId="26" borderId="5" xfId="12" applyNumberFormat="1" applyFont="1" applyFill="1" applyBorder="1" applyAlignment="1">
      <alignment horizontal="center"/>
    </xf>
    <xf numFmtId="164" fontId="15" fillId="26" borderId="0" xfId="40" applyFont="1" applyFill="1" applyBorder="1"/>
    <xf numFmtId="181" fontId="15" fillId="26" borderId="0" xfId="12" applyNumberFormat="1" applyFont="1" applyFill="1" applyBorder="1"/>
    <xf numFmtId="0" fontId="127" fillId="2" borderId="22" xfId="12" applyFont="1" applyFill="1" applyBorder="1" applyAlignment="1">
      <alignment horizontal="center" vertical="center"/>
    </xf>
    <xf numFmtId="0" fontId="127" fillId="2" borderId="53" xfId="12" applyFont="1" applyFill="1" applyBorder="1" applyAlignment="1">
      <alignment horizontal="center" vertical="center"/>
    </xf>
    <xf numFmtId="0" fontId="127" fillId="2" borderId="51" xfId="12" applyFont="1" applyFill="1" applyBorder="1" applyAlignment="1">
      <alignment horizontal="center" vertical="center"/>
    </xf>
    <xf numFmtId="0" fontId="127" fillId="0" borderId="0" xfId="12" applyFont="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4" fontId="41" fillId="4" borderId="13" xfId="12" applyNumberFormat="1" applyFont="1" applyFill="1" applyBorder="1" applyAlignment="1">
      <alignment horizontal="center" vertical="center"/>
    </xf>
    <xf numFmtId="0" fontId="34" fillId="0" borderId="0" xfId="12" applyFont="1"/>
    <xf numFmtId="0" fontId="34" fillId="0" borderId="0" xfId="12" applyFont="1" applyAlignment="1">
      <alignment horizontal="center"/>
    </xf>
    <xf numFmtId="0" fontId="135" fillId="0" borderId="0" xfId="12" applyFont="1" applyAlignment="1">
      <alignment horizontal="center"/>
    </xf>
    <xf numFmtId="4" fontId="167" fillId="0" borderId="0" xfId="12" applyNumberFormat="1" applyFont="1" applyFill="1" applyAlignment="1">
      <alignment horizontal="left" vertical="center"/>
    </xf>
    <xf numFmtId="4" fontId="135" fillId="0" borderId="0" xfId="12" applyNumberFormat="1" applyFont="1" applyFill="1" applyAlignment="1">
      <alignment horizontal="center" vertical="center"/>
    </xf>
    <xf numFmtId="0" fontId="167" fillId="0" borderId="0" xfId="12" applyFont="1" applyAlignment="1">
      <alignment horizontal="center" vertical="center"/>
    </xf>
    <xf numFmtId="0" fontId="135"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5" fillId="0" borderId="0" xfId="12" applyNumberFormat="1" applyFont="1" applyFill="1" applyAlignment="1">
      <alignment horizontal="center"/>
    </xf>
    <xf numFmtId="14" fontId="135" fillId="0" borderId="0" xfId="12" applyNumberFormat="1" applyFont="1" applyAlignment="1">
      <alignment horizontal="left"/>
    </xf>
    <xf numFmtId="0" fontId="135" fillId="0" borderId="0" xfId="12" applyFont="1" applyFill="1" applyAlignment="1">
      <alignment horizontal="center"/>
    </xf>
    <xf numFmtId="0" fontId="135" fillId="0" borderId="0" xfId="12" applyFont="1"/>
    <xf numFmtId="14" fontId="135" fillId="0" borderId="0" xfId="12" applyNumberFormat="1" applyFont="1" applyAlignment="1">
      <alignment horizontal="center"/>
    </xf>
    <xf numFmtId="4" fontId="135" fillId="0" borderId="0" xfId="12" applyNumberFormat="1" applyFont="1" applyAlignment="1">
      <alignment horizontal="center"/>
    </xf>
    <xf numFmtId="49" fontId="135" fillId="0" borderId="0" xfId="12" applyNumberFormat="1" applyFont="1"/>
    <xf numFmtId="1" fontId="135"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5"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2" fillId="0" borderId="14" xfId="42" applyNumberFormat="1" applyFont="1" applyFill="1" applyBorder="1" applyAlignment="1">
      <alignment horizontal="center" vertical="center"/>
    </xf>
    <xf numFmtId="4" fontId="152" fillId="0" borderId="15" xfId="42" applyNumberFormat="1" applyFont="1" applyFill="1" applyBorder="1" applyAlignment="1">
      <alignment vertical="center"/>
    </xf>
    <xf numFmtId="4" fontId="152" fillId="0" borderId="15" xfId="42" applyNumberFormat="1" applyFont="1" applyFill="1" applyBorder="1" applyAlignment="1">
      <alignment horizontal="center" vertical="center"/>
    </xf>
    <xf numFmtId="164" fontId="95" fillId="0" borderId="59" xfId="3" applyFont="1" applyFill="1" applyBorder="1" applyAlignment="1">
      <alignment horizontal="center" vertical="center"/>
    </xf>
    <xf numFmtId="0" fontId="135"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7" fillId="0" borderId="0" xfId="12" applyNumberFormat="1" applyFont="1" applyFill="1" applyAlignment="1">
      <alignment vertical="center"/>
    </xf>
    <xf numFmtId="0" fontId="40" fillId="0" borderId="0" xfId="12" applyFont="1" applyFill="1" applyAlignment="1">
      <alignment horizontal="center" vertical="center"/>
    </xf>
    <xf numFmtId="4" fontId="40" fillId="0" borderId="0" xfId="12" applyNumberFormat="1" applyFont="1" applyFill="1" applyAlignment="1">
      <alignment vertical="center"/>
    </xf>
    <xf numFmtId="0" fontId="127" fillId="0" borderId="0" xfId="12" applyFont="1" applyFill="1" applyAlignment="1">
      <alignment vertical="center"/>
    </xf>
    <xf numFmtId="0" fontId="152" fillId="0" borderId="31" xfId="42" applyFont="1" applyBorder="1" applyAlignment="1" applyProtection="1">
      <alignment vertical="center"/>
      <protection locked="0"/>
    </xf>
    <xf numFmtId="0" fontId="152" fillId="0" borderId="47" xfId="42" applyFont="1" applyBorder="1" applyAlignment="1" applyProtection="1">
      <alignment horizontal="center" vertical="center"/>
      <protection locked="0"/>
    </xf>
    <xf numFmtId="4" fontId="152" fillId="0" borderId="13" xfId="42" applyNumberFormat="1" applyFont="1" applyBorder="1" applyAlignment="1" applyProtection="1">
      <alignment horizontal="center"/>
      <protection locked="0"/>
    </xf>
    <xf numFmtId="4" fontId="152" fillId="0" borderId="13" xfId="42" applyNumberFormat="1" applyFont="1" applyBorder="1" applyAlignment="1" applyProtection="1">
      <alignment horizontal="center" vertical="center"/>
      <protection locked="0"/>
    </xf>
    <xf numFmtId="4" fontId="152" fillId="0" borderId="48" xfId="12" applyNumberFormat="1" applyFont="1" applyFill="1" applyBorder="1" applyAlignment="1">
      <alignment horizontal="center" vertical="center"/>
    </xf>
    <xf numFmtId="49" fontId="152" fillId="0" borderId="47" xfId="42" applyNumberFormat="1" applyFont="1" applyFill="1" applyBorder="1" applyAlignment="1">
      <alignment vertical="center"/>
    </xf>
    <xf numFmtId="49" fontId="152"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5" fillId="0" borderId="0" xfId="12" applyNumberFormat="1" applyFont="1" applyFill="1" applyAlignment="1">
      <alignment vertical="center"/>
    </xf>
    <xf numFmtId="0" fontId="152" fillId="0" borderId="31" xfId="42" applyFont="1" applyBorder="1" applyAlignment="1" applyProtection="1">
      <alignment vertical="center" wrapText="1"/>
      <protection locked="0"/>
    </xf>
    <xf numFmtId="0" fontId="152" fillId="0" borderId="4" xfId="42" applyFont="1" applyBorder="1" applyAlignment="1" applyProtection="1">
      <alignment horizontal="center" vertical="center"/>
      <protection locked="0"/>
    </xf>
    <xf numFmtId="4" fontId="152" fillId="0" borderId="5" xfId="42" applyNumberFormat="1" applyFont="1" applyBorder="1" applyAlignment="1" applyProtection="1">
      <alignment horizontal="center"/>
      <protection locked="0"/>
    </xf>
    <xf numFmtId="4" fontId="152" fillId="0" borderId="5" xfId="42" applyNumberFormat="1" applyFont="1" applyBorder="1" applyAlignment="1" applyProtection="1">
      <alignment horizontal="center" vertical="center"/>
      <protection locked="0"/>
    </xf>
    <xf numFmtId="4" fontId="152" fillId="4" borderId="6" xfId="12" applyNumberFormat="1" applyFont="1" applyFill="1" applyBorder="1" applyAlignment="1">
      <alignment horizontal="center" vertical="center"/>
    </xf>
    <xf numFmtId="4" fontId="152" fillId="0" borderId="4" xfId="12" applyNumberFormat="1" applyFont="1" applyFill="1" applyBorder="1" applyAlignment="1">
      <alignment horizontal="center" vertical="center"/>
    </xf>
    <xf numFmtId="4" fontId="152" fillId="4" borderId="6" xfId="12" applyNumberFormat="1" applyFont="1" applyFill="1" applyBorder="1" applyAlignment="1" applyProtection="1">
      <alignment horizontal="center" vertical="center"/>
      <protection locked="0"/>
    </xf>
    <xf numFmtId="4" fontId="152" fillId="0" borderId="9" xfId="12" applyNumberFormat="1" applyFont="1" applyFill="1" applyBorder="1" applyAlignment="1" applyProtection="1">
      <alignment horizontal="center" vertical="center"/>
      <protection locked="0"/>
    </xf>
    <xf numFmtId="4" fontId="152" fillId="4" borderId="4" xfId="12" applyNumberFormat="1" applyFont="1" applyFill="1" applyBorder="1" applyAlignment="1">
      <alignment horizontal="center" vertical="center"/>
    </xf>
    <xf numFmtId="4" fontId="152" fillId="4" borderId="5" xfId="12" applyNumberFormat="1" applyFont="1" applyFill="1" applyBorder="1" applyAlignment="1" applyProtection="1">
      <alignment horizontal="center" vertical="center"/>
      <protection locked="0"/>
    </xf>
    <xf numFmtId="10" fontId="152" fillId="4" borderId="6" xfId="12" applyNumberFormat="1" applyFont="1" applyFill="1" applyBorder="1" applyAlignment="1">
      <alignment horizontal="center" vertical="center"/>
    </xf>
    <xf numFmtId="4" fontId="152" fillId="4" borderId="4" xfId="12" applyNumberFormat="1" applyFont="1" applyFill="1" applyBorder="1" applyAlignment="1">
      <alignment vertical="center"/>
    </xf>
    <xf numFmtId="4" fontId="152" fillId="4" borderId="5" xfId="12" applyNumberFormat="1" applyFont="1" applyFill="1" applyBorder="1" applyAlignment="1" applyProtection="1">
      <alignment vertical="center"/>
      <protection locked="0"/>
    </xf>
    <xf numFmtId="10" fontId="152" fillId="4" borderId="6" xfId="12" applyNumberFormat="1" applyFont="1" applyFill="1" applyBorder="1" applyAlignment="1">
      <alignment vertical="center"/>
    </xf>
    <xf numFmtId="0" fontId="152" fillId="0" borderId="39" xfId="42" applyFont="1" applyBorder="1" applyAlignment="1" applyProtection="1">
      <alignment vertical="center"/>
      <protection locked="0"/>
    </xf>
    <xf numFmtId="0" fontId="152" fillId="0" borderId="39" xfId="42" applyFont="1" applyBorder="1" applyAlignment="1" applyProtection="1">
      <alignment vertical="center" wrapText="1"/>
      <protection locked="0"/>
    </xf>
    <xf numFmtId="0" fontId="152" fillId="0" borderId="7" xfId="42" applyFont="1" applyBorder="1" applyAlignment="1" applyProtection="1">
      <alignment horizontal="center" vertical="center"/>
      <protection locked="0"/>
    </xf>
    <xf numFmtId="4" fontId="152" fillId="0" borderId="8" xfId="42" applyNumberFormat="1" applyFont="1" applyBorder="1" applyAlignment="1" applyProtection="1">
      <alignment horizontal="center"/>
      <protection locked="0"/>
    </xf>
    <xf numFmtId="4" fontId="152" fillId="0" borderId="8" xfId="42" applyNumberFormat="1" applyFont="1" applyBorder="1" applyAlignment="1" applyProtection="1">
      <alignment horizontal="center" vertical="center"/>
      <protection locked="0"/>
    </xf>
    <xf numFmtId="4" fontId="152" fillId="0" borderId="7" xfId="12" applyNumberFormat="1" applyFont="1" applyFill="1" applyBorder="1" applyAlignment="1">
      <alignment horizontal="center" vertical="center"/>
    </xf>
    <xf numFmtId="4" fontId="152" fillId="4" borderId="7" xfId="12" applyNumberFormat="1" applyFont="1" applyFill="1" applyBorder="1" applyAlignment="1">
      <alignment horizontal="center" vertical="center"/>
    </xf>
    <xf numFmtId="4" fontId="152" fillId="4" borderId="8" xfId="12" applyNumberFormat="1" applyFont="1" applyFill="1" applyBorder="1" applyAlignment="1" applyProtection="1">
      <alignment horizontal="center" vertical="center"/>
      <protection locked="0"/>
    </xf>
    <xf numFmtId="10" fontId="152" fillId="4" borderId="35" xfId="12" applyNumberFormat="1" applyFont="1" applyFill="1" applyBorder="1" applyAlignment="1">
      <alignment horizontal="center" vertical="center"/>
    </xf>
    <xf numFmtId="4" fontId="152" fillId="4" borderId="7" xfId="12" applyNumberFormat="1" applyFont="1" applyFill="1" applyBorder="1" applyAlignment="1">
      <alignment vertical="center"/>
    </xf>
    <xf numFmtId="4" fontId="152" fillId="4" borderId="8" xfId="12" applyNumberFormat="1" applyFont="1" applyFill="1" applyBorder="1" applyAlignment="1" applyProtection="1">
      <alignment vertical="center"/>
      <protection locked="0"/>
    </xf>
    <xf numFmtId="10" fontId="152" fillId="4" borderId="35" xfId="12" applyNumberFormat="1" applyFont="1" applyFill="1" applyBorder="1" applyAlignment="1">
      <alignment vertical="center"/>
    </xf>
    <xf numFmtId="10" fontId="12" fillId="0" borderId="2" xfId="12" applyNumberFormat="1" applyFont="1" applyFill="1" applyBorder="1" applyAlignment="1">
      <alignment horizontal="center"/>
    </xf>
    <xf numFmtId="10" fontId="39" fillId="4" borderId="57" xfId="12" applyNumberFormat="1" applyFont="1" applyFill="1" applyBorder="1" applyAlignment="1">
      <alignment horizontal="center" vertical="center"/>
    </xf>
    <xf numFmtId="0" fontId="19" fillId="0" borderId="4" xfId="12" applyFont="1" applyFill="1" applyBorder="1" applyAlignment="1" applyProtection="1">
      <alignment vertical="center"/>
      <protection locked="0"/>
    </xf>
    <xf numFmtId="0" fontId="65" fillId="0" borderId="5" xfId="12" applyNumberFormat="1" applyFont="1" applyFill="1" applyBorder="1" applyAlignment="1">
      <alignment horizontal="left"/>
    </xf>
    <xf numFmtId="176" fontId="11" fillId="0" borderId="5" xfId="12" applyNumberFormat="1" applyFont="1" applyFill="1" applyBorder="1" applyAlignment="1">
      <alignment horizontal="center"/>
    </xf>
    <xf numFmtId="0" fontId="65" fillId="0" borderId="5" xfId="12" applyNumberFormat="1" applyFont="1" applyFill="1" applyBorder="1" applyAlignment="1">
      <alignment horizontal="center"/>
    </xf>
    <xf numFmtId="4" fontId="11" fillId="0" borderId="5" xfId="12" applyNumberFormat="1" applyFont="1" applyFill="1" applyBorder="1"/>
    <xf numFmtId="10" fontId="11" fillId="0" borderId="5" xfId="12" applyNumberFormat="1" applyFont="1" applyFill="1" applyBorder="1" applyAlignment="1">
      <alignment horizontal="center"/>
    </xf>
    <xf numFmtId="10" fontId="39" fillId="4" borderId="9" xfId="12" applyNumberFormat="1" applyFont="1" applyFill="1" applyBorder="1" applyAlignment="1">
      <alignment horizontal="center" vertical="center"/>
    </xf>
    <xf numFmtId="4" fontId="39" fillId="4" borderId="5" xfId="12" applyNumberFormat="1" applyFont="1" applyFill="1" applyBorder="1" applyAlignment="1">
      <alignment vertical="center"/>
    </xf>
    <xf numFmtId="10" fontId="11" fillId="0" borderId="6" xfId="27" applyNumberFormat="1" applyFont="1" applyFill="1" applyBorder="1"/>
    <xf numFmtId="4" fontId="17" fillId="0" borderId="0" xfId="12" applyNumberFormat="1" applyFont="1" applyFill="1"/>
    <xf numFmtId="2" fontId="11" fillId="0" borderId="5" xfId="12" applyNumberFormat="1" applyFont="1" applyFill="1" applyBorder="1" applyAlignment="1">
      <alignment horizontal="center"/>
    </xf>
    <xf numFmtId="0" fontId="12" fillId="4" borderId="8" xfId="12" applyNumberFormat="1" applyFont="1" applyFill="1" applyBorder="1" applyAlignment="1">
      <alignment horizontal="left"/>
    </xf>
    <xf numFmtId="10" fontId="12" fillId="0" borderId="8" xfId="12" applyNumberFormat="1" applyFont="1" applyFill="1" applyBorder="1" applyAlignment="1">
      <alignment horizontal="center"/>
    </xf>
    <xf numFmtId="10" fontId="39" fillId="4" borderId="63" xfId="12" applyNumberFormat="1" applyFont="1" applyFill="1" applyBorder="1" applyAlignment="1">
      <alignment horizontal="center" vertical="center"/>
    </xf>
    <xf numFmtId="10" fontId="12" fillId="4" borderId="67" xfId="12" applyNumberFormat="1" applyFont="1" applyFill="1" applyBorder="1" applyAlignment="1">
      <alignment horizontal="center"/>
    </xf>
    <xf numFmtId="10" fontId="127" fillId="4" borderId="52" xfId="27" applyNumberFormat="1" applyFont="1" applyFill="1" applyBorder="1"/>
    <xf numFmtId="0" fontId="13" fillId="23" borderId="13" xfId="12" applyNumberFormat="1" applyFont="1" applyFill="1" applyBorder="1" applyAlignment="1">
      <alignment horizontal="center"/>
    </xf>
    <xf numFmtId="10" fontId="39" fillId="4" borderId="46" xfId="12" applyNumberFormat="1" applyFont="1" applyFill="1" applyBorder="1" applyAlignment="1">
      <alignment horizontal="center" vertical="center"/>
    </xf>
    <xf numFmtId="4" fontId="39" fillId="4" borderId="47" xfId="12" applyNumberFormat="1" applyFont="1" applyFill="1" applyBorder="1" applyAlignment="1">
      <alignment vertical="center"/>
    </xf>
    <xf numFmtId="0" fontId="16" fillId="4" borderId="5" xfId="12" applyFont="1" applyFill="1" applyBorder="1" applyAlignment="1" applyProtection="1">
      <alignment vertical="center"/>
      <protection locked="0"/>
    </xf>
    <xf numFmtId="0" fontId="13" fillId="4" borderId="5" xfId="12" applyNumberFormat="1" applyFont="1" applyFill="1" applyBorder="1" applyAlignment="1">
      <alignment horizontal="right"/>
    </xf>
    <xf numFmtId="0" fontId="15" fillId="4" borderId="5" xfId="12" applyNumberFormat="1" applyFont="1" applyFill="1" applyBorder="1" applyAlignment="1">
      <alignment horizontal="center" vertical="center"/>
    </xf>
    <xf numFmtId="0" fontId="13" fillId="4" borderId="5" xfId="12" applyNumberFormat="1" applyFont="1" applyFill="1" applyBorder="1"/>
    <xf numFmtId="0" fontId="13" fillId="4" borderId="5" xfId="12" applyNumberFormat="1" applyFont="1" applyFill="1" applyBorder="1" applyAlignment="1">
      <alignment horizontal="center"/>
    </xf>
    <xf numFmtId="0" fontId="13" fillId="23" borderId="5" xfId="12" applyNumberFormat="1" applyFont="1" applyFill="1" applyBorder="1" applyAlignment="1">
      <alignment horizontal="center"/>
    </xf>
    <xf numFmtId="4" fontId="39" fillId="4" borderId="4" xfId="12" applyNumberFormat="1" applyFont="1" applyFill="1" applyBorder="1" applyAlignment="1">
      <alignment vertical="center"/>
    </xf>
    <xf numFmtId="0" fontId="19" fillId="4" borderId="5" xfId="12" applyFont="1" applyFill="1" applyBorder="1" applyAlignment="1" applyProtection="1">
      <alignment vertical="center"/>
      <protection locked="0"/>
    </xf>
    <xf numFmtId="4" fontId="13" fillId="4" borderId="5" xfId="12" applyNumberFormat="1" applyFont="1" applyFill="1" applyBorder="1" applyAlignment="1">
      <alignment horizontal="right"/>
    </xf>
    <xf numFmtId="10" fontId="14" fillId="4" borderId="5" xfId="12" applyNumberFormat="1" applyFont="1" applyFill="1" applyBorder="1" applyAlignment="1">
      <alignment horizontal="center"/>
    </xf>
    <xf numFmtId="0" fontId="21" fillId="23" borderId="5" xfId="12" applyNumberFormat="1" applyFont="1" applyFill="1" applyBorder="1" applyAlignment="1">
      <alignment horizontal="center"/>
    </xf>
    <xf numFmtId="0" fontId="21" fillId="4" borderId="5" xfId="12" applyNumberFormat="1" applyFont="1" applyFill="1" applyBorder="1" applyAlignment="1">
      <alignment horizontal="center"/>
    </xf>
    <xf numFmtId="10" fontId="21" fillId="4" borderId="5" xfId="12" applyNumberFormat="1" applyFont="1" applyFill="1" applyBorder="1" applyAlignment="1">
      <alignment horizontal="center"/>
    </xf>
    <xf numFmtId="0" fontId="21" fillId="4" borderId="5" xfId="12" applyNumberFormat="1" applyFont="1" applyFill="1" applyBorder="1" applyAlignment="1">
      <alignment horizontal="right"/>
    </xf>
    <xf numFmtId="10" fontId="21" fillId="4" borderId="5" xfId="12" applyNumberFormat="1" applyFont="1" applyFill="1" applyBorder="1" applyAlignment="1">
      <alignment horizontal="right"/>
    </xf>
    <xf numFmtId="10" fontId="17" fillId="4" borderId="0" xfId="12" applyNumberFormat="1" applyFont="1" applyFill="1"/>
    <xf numFmtId="0" fontId="14" fillId="4" borderId="5" xfId="12" applyNumberFormat="1" applyFont="1" applyFill="1" applyBorder="1" applyAlignment="1">
      <alignment horizontal="center" vertical="center"/>
    </xf>
    <xf numFmtId="0" fontId="21" fillId="4" borderId="5" xfId="12" applyNumberFormat="1" applyFont="1" applyFill="1" applyBorder="1"/>
    <xf numFmtId="0" fontId="0" fillId="4" borderId="5" xfId="12" applyNumberFormat="1" applyFont="1" applyFill="1" applyBorder="1" applyAlignment="1">
      <alignment horizontal="right"/>
    </xf>
    <xf numFmtId="4" fontId="39" fillId="4" borderId="28" xfId="12" applyNumberFormat="1" applyFont="1" applyFill="1" applyBorder="1" applyAlignment="1">
      <alignment vertical="center"/>
    </xf>
    <xf numFmtId="164" fontId="127" fillId="0" borderId="0" xfId="3" applyFont="1" applyAlignment="1">
      <alignment horizontal="right"/>
    </xf>
    <xf numFmtId="10" fontId="17" fillId="0" borderId="0" xfId="27" applyNumberFormat="1" applyFont="1" applyFill="1" applyAlignment="1">
      <alignment horizontal="center"/>
    </xf>
    <xf numFmtId="4" fontId="39" fillId="4" borderId="0" xfId="12" applyNumberFormat="1" applyFont="1" applyFill="1" applyBorder="1" applyAlignment="1">
      <alignment vertical="center"/>
    </xf>
    <xf numFmtId="10" fontId="17" fillId="0" borderId="0" xfId="27" applyNumberFormat="1" applyFont="1" applyAlignment="1">
      <alignment horizontal="center"/>
    </xf>
    <xf numFmtId="10" fontId="127" fillId="0" borderId="0" xfId="27" applyNumberFormat="1" applyFont="1" applyAlignment="1">
      <alignment horizontal="right"/>
    </xf>
    <xf numFmtId="10" fontId="17" fillId="23" borderId="0" xfId="27" applyNumberFormat="1" applyFont="1" applyFill="1" applyAlignment="1">
      <alignment horizontal="center"/>
    </xf>
    <xf numFmtId="10" fontId="12" fillId="4" borderId="0" xfId="27" applyNumberFormat="1" applyFont="1" applyFill="1" applyBorder="1"/>
    <xf numFmtId="0" fontId="17" fillId="0" borderId="0" xfId="12" applyFont="1" applyBorder="1"/>
    <xf numFmtId="0" fontId="40" fillId="0" borderId="0" xfId="42" applyFont="1" applyAlignment="1">
      <alignment vertical="top"/>
    </xf>
    <xf numFmtId="4" fontId="128" fillId="0" borderId="0" xfId="42" applyNumberFormat="1" applyFont="1" applyFill="1" applyAlignment="1">
      <alignment vertical="top"/>
    </xf>
    <xf numFmtId="4" fontId="128" fillId="0" borderId="0" xfId="42" applyNumberFormat="1" applyFont="1" applyAlignment="1">
      <alignment vertical="top"/>
    </xf>
    <xf numFmtId="0" fontId="40" fillId="0" borderId="0" xfId="12" applyFont="1" applyBorder="1"/>
    <xf numFmtId="2" fontId="127" fillId="0" borderId="0" xfId="42" applyNumberFormat="1" applyFont="1" applyAlignment="1">
      <alignment vertical="top"/>
    </xf>
    <xf numFmtId="0" fontId="168" fillId="0" borderId="31" xfId="42" applyFont="1" applyBorder="1" applyAlignment="1" applyProtection="1">
      <alignment vertical="center" wrapText="1"/>
      <protection locked="0"/>
    </xf>
    <xf numFmtId="4" fontId="39"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2" fillId="0" borderId="84" xfId="42" applyNumberFormat="1" applyFont="1" applyFill="1" applyBorder="1" applyAlignment="1">
      <alignment horizontal="center" vertical="center"/>
    </xf>
    <xf numFmtId="164" fontId="95"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2" fillId="0" borderId="46" xfId="42" applyNumberFormat="1" applyFont="1" applyBorder="1" applyAlignment="1" applyProtection="1">
      <alignment horizontal="center" vertical="center"/>
      <protection locked="0"/>
    </xf>
    <xf numFmtId="4" fontId="152" fillId="0" borderId="54" xfId="12" applyNumberFormat="1" applyFont="1" applyFill="1" applyBorder="1" applyAlignment="1">
      <alignment horizontal="center" vertical="center"/>
    </xf>
    <xf numFmtId="4" fontId="152" fillId="0" borderId="9" xfId="42" applyNumberFormat="1" applyFont="1" applyBorder="1" applyAlignment="1" applyProtection="1">
      <alignment horizontal="center" vertical="center"/>
      <protection locked="0"/>
    </xf>
    <xf numFmtId="4" fontId="152" fillId="4" borderId="10" xfId="12" applyNumberFormat="1" applyFont="1" applyFill="1" applyBorder="1" applyAlignment="1">
      <alignment horizontal="center" vertical="center"/>
    </xf>
    <xf numFmtId="4" fontId="152" fillId="0" borderId="63" xfId="42" applyNumberFormat="1" applyFont="1" applyBorder="1" applyAlignment="1" applyProtection="1">
      <alignment horizontal="center" vertical="center"/>
      <protection locked="0"/>
    </xf>
    <xf numFmtId="4" fontId="152" fillId="0" borderId="44" xfId="12" applyNumberFormat="1" applyFont="1" applyFill="1" applyBorder="1" applyAlignment="1">
      <alignment horizontal="center" vertical="center"/>
    </xf>
    <xf numFmtId="10" fontId="12" fillId="4" borderId="57" xfId="27" applyNumberFormat="1" applyFont="1" applyFill="1" applyBorder="1" applyAlignment="1">
      <alignment horizontal="center"/>
    </xf>
    <xf numFmtId="4" fontId="11" fillId="0" borderId="9" xfId="12" applyNumberFormat="1" applyFont="1" applyFill="1" applyBorder="1" applyAlignment="1">
      <alignment horizontal="center"/>
    </xf>
    <xf numFmtId="4" fontId="152" fillId="0" borderId="5" xfId="12" applyNumberFormat="1" applyFont="1" applyFill="1" applyBorder="1" applyAlignment="1">
      <alignment horizontal="center" vertical="center"/>
    </xf>
    <xf numFmtId="4" fontId="11" fillId="4" borderId="9" xfId="12" applyNumberFormat="1" applyFont="1" applyFill="1" applyBorder="1" applyAlignment="1">
      <alignment horizontal="center"/>
    </xf>
    <xf numFmtId="4" fontId="21" fillId="7" borderId="5" xfId="12" applyNumberFormat="1" applyFont="1" applyFill="1" applyBorder="1"/>
    <xf numFmtId="0" fontId="49" fillId="4" borderId="0" xfId="12" applyFont="1" applyFill="1"/>
    <xf numFmtId="0" fontId="49" fillId="4" borderId="0" xfId="12" applyFont="1" applyFill="1" applyAlignment="1">
      <alignment horizontal="center"/>
    </xf>
    <xf numFmtId="4" fontId="127" fillId="4" borderId="0" xfId="12" applyNumberFormat="1" applyFont="1" applyFill="1" applyAlignment="1">
      <alignment horizontal="left" vertical="center"/>
    </xf>
    <xf numFmtId="0" fontId="40" fillId="4" borderId="0" xfId="12" applyFont="1" applyFill="1" applyAlignment="1">
      <alignment vertical="top"/>
    </xf>
    <xf numFmtId="4" fontId="127" fillId="4" borderId="0" xfId="12" applyNumberFormat="1" applyFont="1" applyFill="1" applyAlignment="1">
      <alignment horizontal="left" vertical="top"/>
    </xf>
    <xf numFmtId="14" fontId="40" fillId="4" borderId="0" xfId="12" applyNumberFormat="1" applyFont="1" applyFill="1" applyAlignment="1">
      <alignment horizontal="left"/>
    </xf>
    <xf numFmtId="14" fontId="40" fillId="4" borderId="0" xfId="12" applyNumberFormat="1" applyFont="1" applyFill="1" applyAlignment="1">
      <alignment horizontal="center"/>
    </xf>
    <xf numFmtId="49" fontId="40" fillId="4" borderId="0" xfId="12" applyNumberFormat="1" applyFont="1" applyFill="1"/>
    <xf numFmtId="1" fontId="40" fillId="4" borderId="0" xfId="12" applyNumberFormat="1" applyFont="1" applyFill="1" applyAlignment="1">
      <alignment horizontal="left"/>
    </xf>
    <xf numFmtId="4" fontId="127" fillId="4" borderId="0" xfId="12" applyNumberFormat="1" applyFont="1" applyFill="1" applyAlignment="1">
      <alignment horizontal="center"/>
    </xf>
    <xf numFmtId="0" fontId="40" fillId="4" borderId="0" xfId="12" applyFont="1" applyFill="1" applyAlignment="1">
      <alignment horizontal="left" vertical="top"/>
    </xf>
    <xf numFmtId="0" fontId="127" fillId="2" borderId="0" xfId="12" applyFont="1" applyFill="1" applyBorder="1" applyAlignment="1">
      <alignment horizontal="distributed" vertical="center"/>
    </xf>
    <xf numFmtId="0" fontId="71" fillId="0" borderId="60" xfId="42" applyFont="1" applyFill="1" applyBorder="1" applyAlignment="1" applyProtection="1">
      <alignment vertical="center"/>
      <protection locked="0"/>
    </xf>
    <xf numFmtId="4" fontId="71" fillId="0" borderId="60" xfId="42" applyNumberFormat="1" applyFont="1" applyFill="1" applyBorder="1" applyAlignment="1">
      <alignment vertical="center" wrapText="1"/>
    </xf>
    <xf numFmtId="4" fontId="134" fillId="0" borderId="1" xfId="42" applyNumberFormat="1" applyFont="1" applyFill="1" applyBorder="1" applyAlignment="1">
      <alignment horizontal="center" vertical="center"/>
    </xf>
    <xf numFmtId="4" fontId="134" fillId="0" borderId="2" xfId="42" applyNumberFormat="1" applyFont="1" applyFill="1" applyBorder="1" applyAlignment="1">
      <alignment vertical="center"/>
    </xf>
    <xf numFmtId="4" fontId="134" fillId="0" borderId="57" xfId="42" applyNumberFormat="1" applyFont="1" applyFill="1" applyBorder="1" applyAlignment="1">
      <alignment vertical="center"/>
    </xf>
    <xf numFmtId="164" fontId="70" fillId="0" borderId="3" xfId="2" applyFont="1" applyFill="1" applyBorder="1" applyAlignment="1">
      <alignment horizontal="center" vertical="center"/>
    </xf>
    <xf numFmtId="164" fontId="70" fillId="0" borderId="40" xfId="2" applyFont="1" applyFill="1" applyBorder="1" applyAlignment="1">
      <alignment horizontal="center" vertical="center"/>
    </xf>
    <xf numFmtId="0" fontId="40" fillId="0" borderId="1" xfId="12" applyFont="1" applyFill="1" applyBorder="1" applyAlignment="1">
      <alignment horizontal="center" vertical="center"/>
    </xf>
    <xf numFmtId="4" fontId="153" fillId="0" borderId="3" xfId="42" applyNumberFormat="1" applyFont="1" applyFill="1" applyBorder="1" applyAlignment="1">
      <alignment horizontal="center" vertical="center"/>
    </xf>
    <xf numFmtId="4" fontId="127" fillId="27" borderId="61" xfId="12" applyNumberFormat="1" applyFont="1" applyFill="1" applyBorder="1" applyAlignment="1">
      <alignment horizontal="center" vertical="center"/>
    </xf>
    <xf numFmtId="4" fontId="153" fillId="0" borderId="57" xfId="42" applyNumberFormat="1" applyFont="1" applyFill="1" applyBorder="1" applyAlignment="1">
      <alignment horizontal="center" vertical="center"/>
    </xf>
    <xf numFmtId="0" fontId="127" fillId="0" borderId="1" xfId="12" applyFont="1" applyFill="1" applyBorder="1" applyAlignment="1">
      <alignment horizontal="center" vertical="center"/>
    </xf>
    <xf numFmtId="4" fontId="127" fillId="0" borderId="2" xfId="42" applyNumberFormat="1" applyFont="1" applyFill="1" applyBorder="1" applyAlignment="1">
      <alignment horizontal="center" vertical="center"/>
    </xf>
    <xf numFmtId="0" fontId="127" fillId="0" borderId="57" xfId="12" applyFont="1" applyFill="1" applyBorder="1" applyAlignment="1">
      <alignment horizontal="center" vertical="center"/>
    </xf>
    <xf numFmtId="4" fontId="127" fillId="0" borderId="2" xfId="42" applyNumberFormat="1" applyFont="1" applyFill="1" applyBorder="1" applyAlignment="1">
      <alignment vertical="center"/>
    </xf>
    <xf numFmtId="0" fontId="127"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0" fillId="0" borderId="4" xfId="12" applyNumberFormat="1" applyFont="1" applyFill="1" applyBorder="1" applyAlignment="1">
      <alignment horizontal="center" vertical="center"/>
    </xf>
    <xf numFmtId="4" fontId="40" fillId="0" borderId="5" xfId="12" applyNumberFormat="1" applyFont="1" applyFill="1" applyBorder="1" applyAlignment="1">
      <alignment horizontal="center" vertical="center"/>
    </xf>
    <xf numFmtId="4" fontId="40" fillId="0" borderId="9" xfId="12" applyNumberFormat="1" applyFont="1" applyFill="1" applyBorder="1" applyAlignment="1">
      <alignment horizontal="center" vertical="center"/>
    </xf>
    <xf numFmtId="4" fontId="40" fillId="0" borderId="6" xfId="12" applyNumberFormat="1" applyFont="1" applyFill="1" applyBorder="1" applyAlignment="1">
      <alignment horizontal="center" vertical="center"/>
    </xf>
    <xf numFmtId="4" fontId="40" fillId="0" borderId="10" xfId="12" applyNumberFormat="1" applyFont="1" applyFill="1" applyBorder="1" applyAlignment="1">
      <alignment horizontal="center" vertical="center"/>
    </xf>
    <xf numFmtId="49" fontId="40" fillId="0" borderId="4" xfId="42" applyNumberFormat="1" applyFont="1" applyFill="1" applyBorder="1" applyAlignment="1">
      <alignment vertical="center"/>
    </xf>
    <xf numFmtId="49" fontId="40" fillId="0" borderId="6" xfId="42" applyNumberFormat="1" applyFont="1" applyFill="1" applyBorder="1" applyAlignment="1">
      <alignment vertical="center"/>
    </xf>
    <xf numFmtId="4" fontId="40" fillId="27" borderId="17" xfId="42" applyNumberFormat="1" applyFont="1" applyFill="1" applyBorder="1" applyAlignment="1">
      <alignment horizontal="center" vertical="center"/>
    </xf>
    <xf numFmtId="49" fontId="127" fillId="0" borderId="9" xfId="42" applyNumberFormat="1" applyFont="1" applyFill="1" applyBorder="1" applyAlignment="1">
      <alignment vertical="center"/>
    </xf>
    <xf numFmtId="49" fontId="127" fillId="0" borderId="4" xfId="42" applyNumberFormat="1" applyFont="1" applyFill="1" applyBorder="1" applyAlignment="1">
      <alignment vertical="center"/>
    </xf>
    <xf numFmtId="49" fontId="127" fillId="0" borderId="5" xfId="42" applyNumberFormat="1" applyFont="1" applyFill="1" applyBorder="1" applyAlignment="1">
      <alignment vertical="center"/>
    </xf>
    <xf numFmtId="49" fontId="127" fillId="0" borderId="6" xfId="42" applyNumberFormat="1" applyFont="1" applyFill="1" applyBorder="1" applyAlignment="1">
      <alignment vertical="center"/>
    </xf>
    <xf numFmtId="0" fontId="152" fillId="4" borderId="36" xfId="42" applyFont="1" applyFill="1" applyBorder="1" applyAlignment="1" applyProtection="1">
      <alignment vertical="center"/>
      <protection locked="0"/>
    </xf>
    <xf numFmtId="4" fontId="134" fillId="4" borderId="36" xfId="42" applyNumberFormat="1" applyFont="1" applyFill="1" applyBorder="1" applyAlignment="1">
      <alignment vertical="center"/>
    </xf>
    <xf numFmtId="4" fontId="40" fillId="4" borderId="5" xfId="12" applyNumberFormat="1" applyFont="1" applyFill="1" applyBorder="1" applyAlignment="1">
      <alignment horizontal="center" vertical="center"/>
    </xf>
    <xf numFmtId="4" fontId="40" fillId="4" borderId="9" xfId="12" applyNumberFormat="1" applyFont="1" applyFill="1" applyBorder="1" applyAlignment="1">
      <alignment horizontal="center" vertical="center"/>
    </xf>
    <xf numFmtId="4" fontId="40" fillId="4" borderId="6" xfId="12" applyNumberFormat="1" applyFont="1" applyFill="1" applyBorder="1" applyAlignment="1">
      <alignment horizontal="center" vertical="center"/>
    </xf>
    <xf numFmtId="4" fontId="40" fillId="27" borderId="5" xfId="12" applyNumberFormat="1" applyFont="1" applyFill="1" applyBorder="1" applyAlignment="1">
      <alignment horizontal="center" vertical="center"/>
    </xf>
    <xf numFmtId="4" fontId="40" fillId="0" borderId="9" xfId="12" applyNumberFormat="1" applyFont="1" applyFill="1" applyBorder="1" applyAlignment="1" applyProtection="1">
      <alignment horizontal="center" vertical="center"/>
      <protection locked="0"/>
    </xf>
    <xf numFmtId="10" fontId="40" fillId="4" borderId="9" xfId="12" applyNumberFormat="1" applyFont="1" applyFill="1" applyBorder="1" applyAlignment="1">
      <alignment horizontal="center" vertical="center"/>
    </xf>
    <xf numFmtId="4" fontId="40" fillId="0" borderId="6" xfId="12" applyNumberFormat="1" applyFont="1" applyFill="1" applyBorder="1" applyAlignment="1" applyProtection="1">
      <alignment horizontal="center" vertical="center"/>
      <protection locked="0"/>
    </xf>
    <xf numFmtId="4" fontId="40" fillId="27" borderId="10" xfId="12" applyNumberFormat="1" applyFont="1" applyFill="1" applyBorder="1" applyAlignment="1">
      <alignment horizontal="center" vertical="center"/>
    </xf>
    <xf numFmtId="4" fontId="40" fillId="0" borderId="5" xfId="12" applyNumberFormat="1" applyFont="1" applyFill="1" applyBorder="1" applyAlignment="1" applyProtection="1">
      <alignment horizontal="center" vertical="center"/>
      <protection locked="0"/>
    </xf>
    <xf numFmtId="10" fontId="40" fillId="0" borderId="9" xfId="12" applyNumberFormat="1" applyFont="1" applyFill="1" applyBorder="1" applyAlignment="1">
      <alignment horizontal="center" vertical="center"/>
    </xf>
    <xf numFmtId="4" fontId="40" fillId="0" borderId="4" xfId="12" applyNumberFormat="1" applyFont="1" applyFill="1" applyBorder="1" applyAlignment="1">
      <alignment vertical="center"/>
    </xf>
    <xf numFmtId="4" fontId="40" fillId="0" borderId="5" xfId="12" applyNumberFormat="1" applyFont="1" applyFill="1" applyBorder="1" applyAlignment="1" applyProtection="1">
      <alignment vertical="center"/>
      <protection locked="0"/>
    </xf>
    <xf numFmtId="10" fontId="40" fillId="0" borderId="6" xfId="12" applyNumberFormat="1" applyFont="1" applyFill="1" applyBorder="1" applyAlignment="1">
      <alignment vertical="center"/>
    </xf>
    <xf numFmtId="0" fontId="152" fillId="4" borderId="36" xfId="42" quotePrefix="1" applyFont="1" applyFill="1" applyBorder="1" applyAlignment="1" applyProtection="1">
      <alignment vertical="center"/>
      <protection locked="0"/>
    </xf>
    <xf numFmtId="4" fontId="71" fillId="0" borderId="36" xfId="42" quotePrefix="1" applyNumberFormat="1" applyFont="1" applyFill="1" applyBorder="1" applyAlignment="1">
      <alignment vertical="center"/>
    </xf>
    <xf numFmtId="4" fontId="71" fillId="0" borderId="36" xfId="42" applyNumberFormat="1" applyFont="1" applyFill="1" applyBorder="1" applyAlignment="1">
      <alignment vertical="center"/>
    </xf>
    <xf numFmtId="4" fontId="40" fillId="0" borderId="17" xfId="42" applyNumberFormat="1" applyFont="1" applyFill="1" applyBorder="1" applyAlignment="1">
      <alignment horizontal="center" vertical="center"/>
    </xf>
    <xf numFmtId="0" fontId="152" fillId="0" borderId="36" xfId="42" quotePrefix="1" applyFont="1" applyBorder="1" applyAlignment="1" applyProtection="1">
      <alignment vertical="center"/>
      <protection locked="0"/>
    </xf>
    <xf numFmtId="4" fontId="38" fillId="0" borderId="36" xfId="42" applyNumberFormat="1" applyFont="1" applyFill="1" applyBorder="1" applyAlignment="1">
      <alignment vertical="center"/>
    </xf>
    <xf numFmtId="4" fontId="38"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38" fillId="0" borderId="36" xfId="42" quotePrefix="1" applyNumberFormat="1" applyFont="1" applyFill="1" applyBorder="1" applyAlignment="1">
      <alignment vertical="center"/>
    </xf>
    <xf numFmtId="0" fontId="127" fillId="0" borderId="0" xfId="12" applyFont="1" applyFill="1" applyAlignment="1">
      <alignment horizontal="center" vertical="center"/>
    </xf>
    <xf numFmtId="10" fontId="12" fillId="27" borderId="2" xfId="12" applyNumberFormat="1" applyFont="1" applyFill="1" applyBorder="1" applyAlignment="1">
      <alignment horizontal="center"/>
    </xf>
    <xf numFmtId="10" fontId="12" fillId="4" borderId="48" xfId="27" applyNumberFormat="1" applyFont="1" applyFill="1" applyBorder="1"/>
    <xf numFmtId="10" fontId="11" fillId="27" borderId="5" xfId="12" applyNumberFormat="1" applyFont="1" applyFill="1" applyBorder="1" applyAlignment="1">
      <alignment horizontal="center"/>
    </xf>
    <xf numFmtId="0" fontId="11" fillId="0" borderId="5" xfId="12" applyNumberFormat="1" applyFont="1" applyFill="1" applyBorder="1" applyAlignment="1"/>
    <xf numFmtId="2" fontId="11" fillId="27" borderId="5" xfId="12" applyNumberFormat="1" applyFont="1" applyFill="1" applyBorder="1" applyAlignment="1">
      <alignment horizontal="center"/>
    </xf>
    <xf numFmtId="4" fontId="12" fillId="27" borderId="5" xfId="12" applyNumberFormat="1" applyFont="1" applyFill="1" applyBorder="1"/>
    <xf numFmtId="0" fontId="12" fillId="4" borderId="8" xfId="12" applyNumberFormat="1" applyFont="1" applyFill="1" applyBorder="1" applyAlignment="1">
      <alignment horizontal="right"/>
    </xf>
    <xf numFmtId="0" fontId="15" fillId="4" borderId="5" xfId="12" applyNumberFormat="1" applyFont="1" applyFill="1" applyBorder="1"/>
    <xf numFmtId="0" fontId="0" fillId="4" borderId="5" xfId="12" applyNumberFormat="1" applyFont="1" applyFill="1" applyBorder="1"/>
    <xf numFmtId="0" fontId="14" fillId="4" borderId="5" xfId="12" applyNumberFormat="1" applyFont="1" applyFill="1" applyBorder="1"/>
    <xf numFmtId="0" fontId="13" fillId="4" borderId="5" xfId="12" applyNumberFormat="1" applyFont="1" applyFill="1" applyBorder="1" applyAlignment="1">
      <alignment horizontal="left"/>
    </xf>
    <xf numFmtId="0" fontId="19" fillId="4" borderId="83" xfId="12" applyFont="1" applyFill="1" applyBorder="1" applyAlignment="1" applyProtection="1">
      <alignment vertical="center"/>
      <protection locked="0"/>
    </xf>
    <xf numFmtId="0" fontId="17" fillId="4" borderId="83" xfId="12" applyFont="1" applyFill="1" applyBorder="1" applyAlignment="1" applyProtection="1">
      <alignment horizontal="center" vertical="center"/>
      <protection locked="0"/>
    </xf>
    <xf numFmtId="4" fontId="19" fillId="4" borderId="83" xfId="12" applyNumberFormat="1" applyFont="1" applyFill="1" applyBorder="1" applyAlignment="1" applyProtection="1">
      <alignment vertical="center"/>
      <protection locked="0"/>
    </xf>
    <xf numFmtId="4" fontId="17" fillId="4" borderId="83" xfId="12" applyNumberFormat="1" applyFont="1" applyFill="1" applyBorder="1" applyAlignment="1">
      <alignment horizontal="center"/>
    </xf>
    <xf numFmtId="2" fontId="17" fillId="4" borderId="83" xfId="12" applyNumberFormat="1" applyFont="1" applyFill="1" applyBorder="1" applyAlignment="1">
      <alignment horizontal="center"/>
    </xf>
    <xf numFmtId="4" fontId="17" fillId="23" borderId="83" xfId="12" applyNumberFormat="1" applyFont="1" applyFill="1" applyBorder="1" applyAlignment="1">
      <alignment horizontal="center"/>
    </xf>
    <xf numFmtId="2" fontId="17" fillId="0" borderId="83" xfId="12" applyNumberFormat="1" applyFont="1" applyFill="1" applyBorder="1" applyAlignment="1">
      <alignment horizontal="center"/>
    </xf>
    <xf numFmtId="10" fontId="17" fillId="4" borderId="83" xfId="12" applyNumberFormat="1" applyFont="1" applyFill="1" applyBorder="1" applyAlignment="1">
      <alignment horizontal="center"/>
    </xf>
    <xf numFmtId="4" fontId="17" fillId="4" borderId="83" xfId="12" applyNumberFormat="1" applyFont="1" applyFill="1" applyBorder="1"/>
    <xf numFmtId="10" fontId="17" fillId="4" borderId="83" xfId="12" applyNumberFormat="1" applyFont="1" applyFill="1" applyBorder="1"/>
    <xf numFmtId="4" fontId="47" fillId="4" borderId="0" xfId="12" applyNumberFormat="1" applyFont="1" applyFill="1"/>
    <xf numFmtId="164" fontId="17" fillId="4" borderId="0" xfId="2" applyFont="1" applyFill="1" applyAlignment="1">
      <alignment horizontal="center"/>
    </xf>
    <xf numFmtId="164" fontId="127" fillId="0" borderId="0" xfId="2" applyFont="1" applyAlignment="1">
      <alignment horizontal="right"/>
    </xf>
    <xf numFmtId="164" fontId="17" fillId="0" borderId="0" xfId="2" applyFont="1" applyAlignment="1"/>
    <xf numFmtId="4" fontId="127" fillId="0" borderId="0" xfId="12" applyNumberFormat="1" applyFont="1" applyFill="1" applyAlignment="1">
      <alignment horizontal="left" vertical="center"/>
    </xf>
    <xf numFmtId="14" fontId="40" fillId="0" borderId="0" xfId="12" applyNumberFormat="1" applyFont="1" applyAlignment="1">
      <alignment horizontal="left" vertical="center"/>
    </xf>
    <xf numFmtId="14" fontId="40" fillId="0" borderId="0" xfId="12" applyNumberFormat="1" applyFont="1" applyAlignment="1">
      <alignment horizontal="center" wrapText="1"/>
    </xf>
    <xf numFmtId="0" fontId="71" fillId="0" borderId="16" xfId="42" applyFont="1" applyFill="1" applyBorder="1" applyAlignment="1" applyProtection="1">
      <alignment vertical="center"/>
      <protection locked="0"/>
    </xf>
    <xf numFmtId="4" fontId="71" fillId="0" borderId="18" xfId="42" applyNumberFormat="1" applyFont="1" applyFill="1" applyBorder="1" applyAlignment="1">
      <alignment vertical="center" wrapText="1"/>
    </xf>
    <xf numFmtId="4" fontId="134" fillId="0" borderId="14" xfId="42" applyNumberFormat="1" applyFont="1" applyFill="1" applyBorder="1" applyAlignment="1">
      <alignment horizontal="center" vertical="center"/>
    </xf>
    <xf numFmtId="4" fontId="134" fillId="0" borderId="15" xfId="42" applyNumberFormat="1" applyFont="1" applyFill="1" applyBorder="1" applyAlignment="1">
      <alignment horizontal="center" vertical="center"/>
    </xf>
    <xf numFmtId="4" fontId="134" fillId="0" borderId="84" xfId="42" applyNumberFormat="1" applyFont="1" applyFill="1" applyBorder="1" applyAlignment="1">
      <alignment horizontal="center" vertical="center"/>
    </xf>
    <xf numFmtId="164" fontId="70" fillId="0" borderId="59" xfId="2" applyFont="1" applyFill="1" applyBorder="1" applyAlignment="1">
      <alignment horizontal="center" vertical="center"/>
    </xf>
    <xf numFmtId="164" fontId="70" fillId="0" borderId="19" xfId="2" applyFont="1" applyFill="1" applyBorder="1" applyAlignment="1">
      <alignment horizontal="center" vertical="center"/>
    </xf>
    <xf numFmtId="0" fontId="40" fillId="0" borderId="14" xfId="12" applyFont="1" applyFill="1" applyBorder="1" applyAlignment="1">
      <alignment horizontal="center" vertical="center"/>
    </xf>
    <xf numFmtId="4" fontId="153" fillId="0" borderId="59" xfId="42" applyNumberFormat="1" applyFont="1" applyFill="1" applyBorder="1" applyAlignment="1">
      <alignment horizontal="center" vertical="center"/>
    </xf>
    <xf numFmtId="4" fontId="39" fillId="23" borderId="15" xfId="12" applyNumberFormat="1" applyFont="1" applyFill="1" applyBorder="1" applyAlignment="1">
      <alignment horizontal="center" vertical="center"/>
    </xf>
    <xf numFmtId="4" fontId="153" fillId="0" borderId="84" xfId="42" applyNumberFormat="1" applyFont="1" applyFill="1" applyBorder="1" applyAlignment="1">
      <alignment horizontal="center" vertical="center"/>
    </xf>
    <xf numFmtId="0" fontId="127" fillId="0" borderId="14" xfId="12" applyFont="1" applyFill="1" applyBorder="1" applyAlignment="1">
      <alignment horizontal="center" vertical="center"/>
    </xf>
    <xf numFmtId="4" fontId="127" fillId="0" borderId="15" xfId="42" applyNumberFormat="1" applyFont="1" applyFill="1" applyBorder="1" applyAlignment="1">
      <alignment horizontal="center" vertical="center"/>
    </xf>
    <xf numFmtId="0" fontId="127" fillId="0" borderId="59" xfId="12" applyFont="1" applyFill="1" applyBorder="1" applyAlignment="1">
      <alignment horizontal="center" vertical="center"/>
    </xf>
    <xf numFmtId="4" fontId="127"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39" fillId="0" borderId="48" xfId="12" applyNumberFormat="1" applyFont="1" applyFill="1" applyBorder="1" applyAlignment="1">
      <alignment horizontal="center" vertical="center"/>
    </xf>
    <xf numFmtId="4" fontId="39" fillId="0" borderId="54" xfId="12" applyNumberFormat="1" applyFont="1" applyFill="1" applyBorder="1" applyAlignment="1">
      <alignment horizontal="center" vertical="center"/>
    </xf>
    <xf numFmtId="49" fontId="39" fillId="0" borderId="47" xfId="42" applyNumberFormat="1" applyFont="1" applyFill="1" applyBorder="1" applyAlignment="1">
      <alignment vertical="center"/>
    </xf>
    <xf numFmtId="49" fontId="39" fillId="0" borderId="48" xfId="42" applyNumberFormat="1" applyFont="1" applyFill="1" applyBorder="1" applyAlignment="1">
      <alignment vertical="center"/>
    </xf>
    <xf numFmtId="4" fontId="39" fillId="23" borderId="13" xfId="12" applyNumberFormat="1" applyFont="1" applyFill="1" applyBorder="1" applyAlignment="1">
      <alignment horizontal="center" vertical="center"/>
    </xf>
    <xf numFmtId="49" fontId="38" fillId="0" borderId="46" xfId="42" applyNumberFormat="1" applyFont="1" applyFill="1" applyBorder="1" applyAlignment="1">
      <alignment vertical="center"/>
    </xf>
    <xf numFmtId="49" fontId="38" fillId="0" borderId="47" xfId="42" applyNumberFormat="1" applyFont="1" applyFill="1" applyBorder="1" applyAlignment="1">
      <alignment vertical="center"/>
    </xf>
    <xf numFmtId="49" fontId="38" fillId="0" borderId="13" xfId="42" applyNumberFormat="1" applyFont="1" applyFill="1" applyBorder="1" applyAlignment="1">
      <alignment vertical="center"/>
    </xf>
    <xf numFmtId="49" fontId="38"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39" fillId="0" borderId="17" xfId="42" applyFont="1" applyBorder="1" applyAlignment="1" applyProtection="1">
      <alignment horizontal="center" vertical="center"/>
      <protection locked="0"/>
    </xf>
    <xf numFmtId="4" fontId="39" fillId="0" borderId="9" xfId="42" applyNumberFormat="1" applyFont="1" applyBorder="1" applyAlignment="1" applyProtection="1">
      <alignment horizontal="center" vertical="center"/>
      <protection locked="0"/>
    </xf>
    <xf numFmtId="4" fontId="39" fillId="4" borderId="6" xfId="12" applyNumberFormat="1" applyFont="1" applyFill="1" applyBorder="1" applyAlignment="1">
      <alignment horizontal="center" vertical="center"/>
    </xf>
    <xf numFmtId="4" fontId="39" fillId="4" borderId="10" xfId="12" applyNumberFormat="1" applyFont="1" applyFill="1" applyBorder="1" applyAlignment="1">
      <alignment horizontal="center" vertical="center"/>
    </xf>
    <xf numFmtId="4" fontId="39" fillId="0" borderId="4" xfId="12" applyNumberFormat="1" applyFont="1" applyFill="1" applyBorder="1" applyAlignment="1">
      <alignment horizontal="center" vertical="center"/>
    </xf>
    <xf numFmtId="4" fontId="39" fillId="4" borderId="6" xfId="12" applyNumberFormat="1" applyFont="1" applyFill="1" applyBorder="1" applyAlignment="1" applyProtection="1">
      <alignment horizontal="center" vertical="center"/>
      <protection locked="0"/>
    </xf>
    <xf numFmtId="4" fontId="39" fillId="23" borderId="5" xfId="12" applyNumberFormat="1" applyFont="1" applyFill="1" applyBorder="1" applyAlignment="1">
      <alignment horizontal="center" vertical="center"/>
    </xf>
    <xf numFmtId="4" fontId="39" fillId="0" borderId="9" xfId="12" applyNumberFormat="1" applyFont="1" applyFill="1" applyBorder="1" applyAlignment="1" applyProtection="1">
      <alignment horizontal="center" vertical="center"/>
      <protection locked="0"/>
    </xf>
    <xf numFmtId="4" fontId="39" fillId="4" borderId="4" xfId="12" applyNumberFormat="1" applyFont="1" applyFill="1" applyBorder="1" applyAlignment="1">
      <alignment horizontal="center" vertical="center"/>
    </xf>
    <xf numFmtId="4" fontId="39" fillId="4" borderId="5" xfId="12" applyNumberFormat="1" applyFont="1" applyFill="1" applyBorder="1" applyAlignment="1" applyProtection="1">
      <alignment horizontal="center" vertical="center"/>
      <protection locked="0"/>
    </xf>
    <xf numFmtId="10" fontId="39" fillId="4" borderId="6" xfId="12" applyNumberFormat="1" applyFont="1" applyFill="1" applyBorder="1" applyAlignment="1">
      <alignment horizontal="center" vertical="center"/>
    </xf>
    <xf numFmtId="4" fontId="39" fillId="4" borderId="5" xfId="12" applyNumberFormat="1" applyFont="1" applyFill="1" applyBorder="1" applyAlignment="1" applyProtection="1">
      <alignment vertical="center"/>
      <protection locked="0"/>
    </xf>
    <xf numFmtId="10" fontId="39" fillId="4" borderId="6" xfId="12" applyNumberFormat="1" applyFont="1" applyFill="1" applyBorder="1" applyAlignment="1">
      <alignment vertical="center"/>
    </xf>
    <xf numFmtId="0" fontId="39" fillId="0" borderId="4" xfId="42" applyFont="1" applyBorder="1" applyAlignment="1" applyProtection="1">
      <alignment vertical="center"/>
      <protection locked="0"/>
    </xf>
    <xf numFmtId="0" fontId="39"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39" fillId="0" borderId="7" xfId="42" applyFont="1" applyBorder="1" applyAlignment="1" applyProtection="1">
      <alignment vertical="center"/>
      <protection locked="0"/>
    </xf>
    <xf numFmtId="0" fontId="39" fillId="0" borderId="35" xfId="42" applyFont="1" applyBorder="1" applyAlignment="1" applyProtection="1">
      <alignment vertical="center"/>
      <protection locked="0"/>
    </xf>
    <xf numFmtId="0" fontId="39" fillId="0" borderId="29" xfId="42" applyFont="1" applyBorder="1" applyAlignment="1" applyProtection="1">
      <alignment horizontal="center" vertical="center"/>
      <protection locked="0"/>
    </xf>
    <xf numFmtId="4" fontId="39" fillId="0" borderId="25" xfId="42" applyNumberFormat="1" applyFont="1" applyBorder="1" applyAlignment="1" applyProtection="1">
      <alignment horizontal="center" vertical="center"/>
      <protection locked="0"/>
    </xf>
    <xf numFmtId="4" fontId="39" fillId="0" borderId="26" xfId="42" applyNumberFormat="1" applyFont="1" applyBorder="1" applyAlignment="1" applyProtection="1">
      <alignment horizontal="center" vertical="center"/>
      <protection locked="0"/>
    </xf>
    <xf numFmtId="4" fontId="39" fillId="4" borderId="45" xfId="12" applyNumberFormat="1" applyFont="1" applyFill="1" applyBorder="1" applyAlignment="1">
      <alignment horizontal="center" vertical="center"/>
    </xf>
    <xf numFmtId="4" fontId="39" fillId="0" borderId="44" xfId="12" applyNumberFormat="1" applyFont="1" applyFill="1" applyBorder="1" applyAlignment="1">
      <alignment horizontal="center" vertical="center"/>
    </xf>
    <xf numFmtId="4" fontId="39" fillId="4" borderId="45" xfId="12" applyNumberFormat="1" applyFont="1" applyFill="1" applyBorder="1" applyAlignment="1" applyProtection="1">
      <alignment horizontal="center" vertical="center"/>
      <protection locked="0"/>
    </xf>
    <xf numFmtId="4" fontId="39" fillId="23" borderId="25" xfId="12" applyNumberFormat="1" applyFont="1" applyFill="1" applyBorder="1" applyAlignment="1">
      <alignment horizontal="center" vertical="center"/>
    </xf>
    <xf numFmtId="4" fontId="39" fillId="0" borderId="26" xfId="12" applyNumberFormat="1" applyFont="1" applyFill="1" applyBorder="1" applyAlignment="1" applyProtection="1">
      <alignment horizontal="center" vertical="center"/>
      <protection locked="0"/>
    </xf>
    <xf numFmtId="4" fontId="39" fillId="4" borderId="44" xfId="12" applyNumberFormat="1" applyFont="1" applyFill="1" applyBorder="1" applyAlignment="1">
      <alignment horizontal="center" vertical="center"/>
    </xf>
    <xf numFmtId="4" fontId="39" fillId="4" borderId="25" xfId="12" applyNumberFormat="1" applyFont="1" applyFill="1" applyBorder="1" applyAlignment="1" applyProtection="1">
      <alignment horizontal="center" vertical="center"/>
      <protection locked="0"/>
    </xf>
    <xf numFmtId="10" fontId="39" fillId="4" borderId="45" xfId="12" applyNumberFormat="1" applyFont="1" applyFill="1" applyBorder="1" applyAlignment="1">
      <alignment horizontal="center" vertical="center"/>
    </xf>
    <xf numFmtId="4" fontId="39" fillId="4" borderId="44" xfId="12" applyNumberFormat="1" applyFont="1" applyFill="1" applyBorder="1" applyAlignment="1">
      <alignment vertical="center"/>
    </xf>
    <xf numFmtId="4" fontId="39" fillId="4" borderId="25" xfId="12" applyNumberFormat="1" applyFont="1" applyFill="1" applyBorder="1" applyAlignment="1" applyProtection="1">
      <alignment vertical="center"/>
      <protection locked="0"/>
    </xf>
    <xf numFmtId="10" fontId="39" fillId="4" borderId="45" xfId="12" applyNumberFormat="1" applyFont="1" applyFill="1" applyBorder="1" applyAlignment="1">
      <alignment vertical="center"/>
    </xf>
    <xf numFmtId="10" fontId="12" fillId="4" borderId="2" xfId="27" applyNumberFormat="1" applyFont="1" applyFill="1" applyBorder="1" applyAlignment="1">
      <alignment horizontal="center" vertical="center"/>
    </xf>
    <xf numFmtId="4" fontId="12" fillId="4" borderId="57" xfId="12" applyNumberFormat="1" applyFont="1" applyFill="1" applyBorder="1" applyAlignment="1">
      <alignment horizontal="center"/>
    </xf>
    <xf numFmtId="10" fontId="39" fillId="4" borderId="2" xfId="12" applyNumberFormat="1" applyFont="1" applyFill="1" applyBorder="1" applyAlignment="1">
      <alignment horizontal="center" vertical="center"/>
    </xf>
    <xf numFmtId="4" fontId="12" fillId="4" borderId="61" xfId="12" applyNumberFormat="1" applyFont="1" applyFill="1" applyBorder="1"/>
    <xf numFmtId="10" fontId="39" fillId="4" borderId="5" xfId="12" applyNumberFormat="1" applyFont="1" applyFill="1" applyBorder="1" applyAlignment="1">
      <alignment horizontal="center" vertical="center"/>
    </xf>
    <xf numFmtId="4" fontId="11" fillId="0" borderId="17" xfId="12" applyNumberFormat="1" applyFont="1" applyFill="1" applyBorder="1"/>
    <xf numFmtId="4" fontId="12" fillId="0" borderId="5" xfId="12" applyNumberFormat="1" applyFont="1" applyFill="1" applyBorder="1"/>
    <xf numFmtId="4" fontId="12" fillId="4" borderId="9" xfId="12" applyNumberFormat="1" applyFont="1" applyFill="1" applyBorder="1" applyAlignment="1">
      <alignment horizontal="center"/>
    </xf>
    <xf numFmtId="4" fontId="12" fillId="4" borderId="17" xfId="12" applyNumberFormat="1" applyFont="1" applyFill="1" applyBorder="1" applyAlignment="1">
      <alignment horizontal="right"/>
    </xf>
    <xf numFmtId="4" fontId="12" fillId="4" borderId="63" xfId="12" applyNumberFormat="1" applyFont="1" applyFill="1" applyBorder="1" applyAlignment="1">
      <alignment horizontal="center"/>
    </xf>
    <xf numFmtId="10" fontId="39" fillId="4" borderId="8" xfId="12" applyNumberFormat="1" applyFont="1" applyFill="1" applyBorder="1" applyAlignment="1">
      <alignment horizontal="center" vertical="center"/>
    </xf>
    <xf numFmtId="4" fontId="12" fillId="4" borderId="62" xfId="12" applyNumberFormat="1" applyFont="1" applyFill="1" applyBorder="1"/>
    <xf numFmtId="4" fontId="25" fillId="7" borderId="5" xfId="12" applyNumberFormat="1" applyFont="1" applyFill="1" applyBorder="1"/>
    <xf numFmtId="164" fontId="17" fillId="0" borderId="0" xfId="2" applyFont="1" applyAlignment="1">
      <alignment horizontal="center"/>
    </xf>
    <xf numFmtId="0" fontId="127" fillId="28" borderId="0" xfId="12" applyFont="1" applyFill="1" applyBorder="1" applyAlignment="1">
      <alignment horizontal="center" vertical="center"/>
    </xf>
    <xf numFmtId="0" fontId="70" fillId="0" borderId="1" xfId="42" applyFont="1" applyBorder="1" applyAlignment="1" applyProtection="1">
      <alignment vertical="center"/>
      <protection locked="0"/>
    </xf>
    <xf numFmtId="0" fontId="70" fillId="0" borderId="2" xfId="42" applyFont="1" applyBorder="1" applyAlignment="1" applyProtection="1">
      <alignment vertical="center"/>
      <protection locked="0"/>
    </xf>
    <xf numFmtId="0" fontId="70" fillId="0" borderId="3" xfId="42" applyFont="1" applyBorder="1" applyAlignment="1" applyProtection="1">
      <alignment vertical="center"/>
      <protection locked="0"/>
    </xf>
    <xf numFmtId="164" fontId="70" fillId="0" borderId="1" xfId="2" applyFont="1" applyBorder="1" applyAlignment="1">
      <alignment horizontal="right"/>
    </xf>
    <xf numFmtId="164" fontId="70" fillId="0" borderId="2" xfId="2" applyFont="1" applyBorder="1" applyAlignment="1">
      <alignment horizontal="right"/>
    </xf>
    <xf numFmtId="164" fontId="70" fillId="0" borderId="57" xfId="2" applyFont="1" applyBorder="1" applyAlignment="1">
      <alignment horizontal="right"/>
    </xf>
    <xf numFmtId="164" fontId="70" fillId="0" borderId="3" xfId="2" applyFont="1" applyBorder="1" applyAlignment="1">
      <alignment horizontal="center"/>
    </xf>
    <xf numFmtId="164" fontId="70" fillId="0" borderId="40" xfId="2" applyFont="1" applyBorder="1" applyAlignment="1">
      <alignment horizontal="center"/>
    </xf>
    <xf numFmtId="0" fontId="40" fillId="4" borderId="1" xfId="12" applyFont="1" applyFill="1" applyBorder="1" applyAlignment="1">
      <alignment horizontal="center" vertical="center"/>
    </xf>
    <xf numFmtId="4" fontId="153" fillId="4" borderId="3" xfId="42" applyNumberFormat="1" applyFont="1" applyFill="1" applyBorder="1" applyAlignment="1">
      <alignment horizontal="center"/>
    </xf>
    <xf numFmtId="4" fontId="127" fillId="4" borderId="61" xfId="12" applyNumberFormat="1" applyFont="1" applyFill="1" applyBorder="1" applyAlignment="1">
      <alignment horizontal="center" vertical="center"/>
    </xf>
    <xf numFmtId="4" fontId="153" fillId="4" borderId="57" xfId="42" applyNumberFormat="1" applyFont="1" applyFill="1" applyBorder="1" applyAlignment="1">
      <alignment horizontal="center"/>
    </xf>
    <xf numFmtId="4" fontId="127" fillId="4" borderId="2" xfId="42" applyNumberFormat="1" applyFont="1" applyFill="1" applyBorder="1" applyAlignment="1">
      <alignment horizontal="center"/>
    </xf>
    <xf numFmtId="4" fontId="127" fillId="4" borderId="2" xfId="42" applyNumberFormat="1" applyFont="1" applyFill="1" applyBorder="1"/>
    <xf numFmtId="4" fontId="127" fillId="4" borderId="0" xfId="12" applyNumberFormat="1" applyFont="1" applyFill="1"/>
    <xf numFmtId="0" fontId="88" fillId="4" borderId="4" xfId="42" quotePrefix="1" applyFont="1" applyFill="1" applyBorder="1" applyAlignment="1" applyProtection="1">
      <alignment vertical="center"/>
      <protection locked="0"/>
    </xf>
    <xf numFmtId="0" fontId="88" fillId="4" borderId="5" xfId="42" applyFont="1" applyFill="1" applyBorder="1" applyAlignment="1" applyProtection="1">
      <alignment horizontal="left" vertical="center" indent="1"/>
      <protection locked="0"/>
    </xf>
    <xf numFmtId="0" fontId="88" fillId="4" borderId="6" xfId="42" applyFont="1" applyFill="1" applyBorder="1" applyAlignment="1" applyProtection="1">
      <alignment horizontal="center" vertical="center"/>
      <protection locked="0"/>
    </xf>
    <xf numFmtId="4" fontId="134" fillId="4" borderId="4" xfId="42" applyNumberFormat="1" applyFont="1" applyFill="1" applyBorder="1" applyAlignment="1">
      <alignment vertical="top"/>
    </xf>
    <xf numFmtId="4" fontId="134" fillId="4" borderId="5" xfId="42" applyNumberFormat="1" applyFont="1" applyFill="1" applyBorder="1" applyAlignment="1">
      <alignment vertical="top"/>
    </xf>
    <xf numFmtId="4" fontId="134" fillId="4" borderId="9" xfId="42" applyNumberFormat="1" applyFont="1" applyFill="1" applyBorder="1" applyAlignment="1">
      <alignment vertical="top"/>
    </xf>
    <xf numFmtId="4" fontId="134" fillId="4" borderId="6" xfId="42" applyNumberFormat="1" applyFont="1" applyFill="1" applyBorder="1" applyAlignment="1">
      <alignment vertical="top"/>
    </xf>
    <xf numFmtId="4" fontId="40" fillId="4" borderId="10" xfId="12" applyNumberFormat="1" applyFont="1" applyFill="1" applyBorder="1" applyAlignment="1">
      <alignment horizontal="center"/>
    </xf>
    <xf numFmtId="4" fontId="40" fillId="4" borderId="17" xfId="42" applyNumberFormat="1" applyFont="1" applyFill="1" applyBorder="1" applyAlignment="1">
      <alignment horizontal="center"/>
    </xf>
    <xf numFmtId="4" fontId="40" fillId="4" borderId="9" xfId="12" applyNumberFormat="1" applyFont="1" applyFill="1" applyBorder="1" applyAlignment="1" applyProtection="1">
      <alignment horizontal="center" vertical="center"/>
      <protection locked="0"/>
    </xf>
    <xf numFmtId="10" fontId="40" fillId="4" borderId="6" xfId="12" applyNumberFormat="1" applyFont="1" applyFill="1" applyBorder="1" applyAlignment="1">
      <alignment horizontal="center"/>
    </xf>
    <xf numFmtId="4" fontId="40" fillId="4" borderId="4" xfId="12" applyNumberFormat="1" applyFont="1" applyFill="1" applyBorder="1"/>
    <xf numFmtId="10" fontId="40" fillId="4" borderId="6" xfId="12" applyNumberFormat="1" applyFont="1" applyFill="1" applyBorder="1"/>
    <xf numFmtId="4" fontId="135" fillId="4" borderId="0" xfId="12" applyNumberFormat="1" applyFont="1" applyFill="1"/>
    <xf numFmtId="0" fontId="70" fillId="0" borderId="1" xfId="42" quotePrefix="1" applyFont="1" applyBorder="1" applyAlignment="1" applyProtection="1">
      <alignment vertical="center"/>
      <protection locked="0"/>
    </xf>
    <xf numFmtId="0" fontId="131" fillId="4" borderId="6" xfId="42" applyFont="1" applyFill="1" applyBorder="1" applyAlignment="1" applyProtection="1">
      <alignment horizontal="center" vertical="center"/>
      <protection locked="0"/>
    </xf>
    <xf numFmtId="0" fontId="39" fillId="4" borderId="4" xfId="42" applyFont="1" applyFill="1" applyBorder="1" applyAlignment="1">
      <alignment vertical="top"/>
    </xf>
    <xf numFmtId="0" fontId="39" fillId="4" borderId="5" xfId="42" applyFont="1" applyFill="1" applyBorder="1" applyAlignment="1">
      <alignment vertical="top"/>
    </xf>
    <xf numFmtId="0" fontId="39" fillId="4" borderId="9" xfId="42" applyFont="1" applyFill="1" applyBorder="1" applyAlignment="1">
      <alignment vertical="top"/>
    </xf>
    <xf numFmtId="0" fontId="39" fillId="4" borderId="6" xfId="42" applyFont="1" applyFill="1" applyBorder="1" applyAlignment="1">
      <alignment vertical="top"/>
    </xf>
    <xf numFmtId="0" fontId="88" fillId="4" borderId="4" xfId="42" applyFont="1" applyFill="1" applyBorder="1" applyAlignment="1" applyProtection="1">
      <alignment vertical="center"/>
      <protection locked="0"/>
    </xf>
    <xf numFmtId="4" fontId="11" fillId="4" borderId="5" xfId="12" applyNumberFormat="1" applyFont="1" applyFill="1" applyBorder="1" applyAlignment="1">
      <alignment horizontal="center" vertical="center"/>
    </xf>
    <xf numFmtId="10" fontId="12" fillId="4" borderId="35" xfId="27" applyNumberFormat="1" applyFont="1" applyFill="1" applyBorder="1"/>
    <xf numFmtId="4" fontId="38" fillId="7" borderId="0" xfId="12" applyNumberFormat="1" applyFont="1" applyFill="1"/>
    <xf numFmtId="0" fontId="127" fillId="0" borderId="0" xfId="12" applyFont="1" applyAlignment="1">
      <alignment horizontal="right"/>
    </xf>
    <xf numFmtId="164" fontId="17"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2"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9"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3"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4"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30" borderId="5" xfId="42" applyNumberFormat="1" applyFont="1" applyFill="1" applyBorder="1" applyAlignment="1">
      <alignment horizontal="right" vertical="top" wrapText="1"/>
    </xf>
    <xf numFmtId="10" fontId="177" fillId="30"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6"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5"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6" fontId="177" fillId="4" borderId="12" xfId="63" applyNumberFormat="1" applyFont="1" applyFill="1" applyBorder="1" applyAlignment="1"/>
    <xf numFmtId="185"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1" borderId="5" xfId="62" applyNumberFormat="1" applyFont="1" applyFill="1" applyBorder="1" applyAlignment="1">
      <alignment horizontal="right" vertical="top" wrapText="1"/>
    </xf>
    <xf numFmtId="10" fontId="182" fillId="31" borderId="5" xfId="42" applyNumberFormat="1" applyFont="1" applyFill="1" applyBorder="1" applyAlignment="1" applyProtection="1">
      <alignment horizontal="right" vertical="center"/>
    </xf>
    <xf numFmtId="10" fontId="182" fillId="31" borderId="5" xfId="27" applyNumberFormat="1" applyFont="1" applyFill="1" applyBorder="1" applyAlignment="1" applyProtection="1">
      <alignment horizontal="right" vertical="center"/>
    </xf>
    <xf numFmtId="185"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1" fillId="0" borderId="31" xfId="42" applyFont="1" applyBorder="1" applyAlignment="1" applyProtection="1">
      <alignment vertical="center"/>
      <protection locked="0"/>
    </xf>
    <xf numFmtId="0" fontId="71" fillId="0" borderId="38" xfId="42" applyFont="1" applyBorder="1" applyAlignment="1" applyProtection="1">
      <alignment vertical="center" wrapText="1"/>
      <protection locked="0"/>
    </xf>
    <xf numFmtId="0" fontId="71"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7"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5" fillId="4" borderId="0" xfId="12" applyFont="1" applyFill="1"/>
    <xf numFmtId="0" fontId="105" fillId="0" borderId="0" xfId="12" applyFont="1"/>
    <xf numFmtId="0" fontId="152" fillId="4" borderId="42" xfId="42" applyFont="1" applyFill="1" applyBorder="1" applyAlignment="1" applyProtection="1">
      <alignment vertical="center"/>
      <protection locked="0"/>
    </xf>
    <xf numFmtId="4" fontId="134" fillId="4" borderId="42" xfId="42" applyNumberFormat="1" applyFont="1" applyFill="1" applyBorder="1" applyAlignment="1">
      <alignment vertical="center"/>
    </xf>
    <xf numFmtId="4" fontId="40" fillId="4" borderId="44" xfId="12" applyNumberFormat="1" applyFont="1" applyFill="1" applyBorder="1" applyAlignment="1">
      <alignment horizontal="center" vertical="center"/>
    </xf>
    <xf numFmtId="4" fontId="40" fillId="4" borderId="25" xfId="12" applyNumberFormat="1" applyFont="1" applyFill="1" applyBorder="1" applyAlignment="1">
      <alignment horizontal="center" vertical="center"/>
    </xf>
    <xf numFmtId="4" fontId="40" fillId="4" borderId="26" xfId="12" applyNumberFormat="1" applyFont="1" applyFill="1" applyBorder="1" applyAlignment="1">
      <alignment horizontal="center" vertical="center"/>
    </xf>
    <xf numFmtId="4" fontId="40" fillId="4" borderId="45" xfId="12" applyNumberFormat="1" applyFont="1" applyFill="1" applyBorder="1" applyAlignment="1">
      <alignment horizontal="center" vertical="center"/>
    </xf>
    <xf numFmtId="4" fontId="40" fillId="4" borderId="64" xfId="12" applyNumberFormat="1" applyFont="1" applyFill="1" applyBorder="1" applyAlignment="1">
      <alignment horizontal="center" vertical="center"/>
    </xf>
    <xf numFmtId="4" fontId="40" fillId="0" borderId="44" xfId="12" applyNumberFormat="1" applyFont="1" applyFill="1" applyBorder="1" applyAlignment="1">
      <alignment horizontal="center" vertical="center"/>
    </xf>
    <xf numFmtId="4" fontId="40" fillId="4" borderId="45" xfId="12" applyNumberFormat="1" applyFont="1" applyFill="1" applyBorder="1" applyAlignment="1" applyProtection="1">
      <alignment horizontal="center" vertical="center"/>
      <protection locked="0"/>
    </xf>
    <xf numFmtId="4" fontId="40" fillId="27" borderId="28" xfId="12" applyNumberFormat="1" applyFont="1" applyFill="1" applyBorder="1" applyAlignment="1">
      <alignment horizontal="center" vertical="center"/>
    </xf>
    <xf numFmtId="4" fontId="40" fillId="0" borderId="26" xfId="12" applyNumberFormat="1" applyFont="1" applyFill="1" applyBorder="1" applyAlignment="1" applyProtection="1">
      <alignment horizontal="center" vertical="center"/>
      <protection locked="0"/>
    </xf>
    <xf numFmtId="4" fontId="40" fillId="4" borderId="25" xfId="12" applyNumberFormat="1" applyFont="1" applyFill="1" applyBorder="1" applyAlignment="1" applyProtection="1">
      <alignment horizontal="center" vertical="center"/>
      <protection locked="0"/>
    </xf>
    <xf numFmtId="10" fontId="40" fillId="4" borderId="26" xfId="12" applyNumberFormat="1" applyFont="1" applyFill="1" applyBorder="1" applyAlignment="1">
      <alignment horizontal="center" vertical="center"/>
    </xf>
    <xf numFmtId="4" fontId="40" fillId="4" borderId="44" xfId="12" applyNumberFormat="1" applyFont="1" applyFill="1" applyBorder="1" applyAlignment="1">
      <alignment vertical="center"/>
    </xf>
    <xf numFmtId="4" fontId="40" fillId="4" borderId="25" xfId="12" applyNumberFormat="1" applyFont="1" applyFill="1" applyBorder="1" applyAlignment="1" applyProtection="1">
      <alignment vertical="center"/>
      <protection locked="0"/>
    </xf>
    <xf numFmtId="10" fontId="40" fillId="4" borderId="45" xfId="12" applyNumberFormat="1" applyFont="1" applyFill="1" applyBorder="1" applyAlignment="1">
      <alignment vertical="center"/>
    </xf>
    <xf numFmtId="4" fontId="12" fillId="7" borderId="2" xfId="12" applyNumberFormat="1" applyFont="1" applyFill="1" applyBorder="1"/>
    <xf numFmtId="4" fontId="12" fillId="0" borderId="2" xfId="12" applyNumberFormat="1" applyFont="1" applyFill="1" applyBorder="1"/>
    <xf numFmtId="10" fontId="12" fillId="4" borderId="2" xfId="27" applyNumberFormat="1" applyFont="1" applyFill="1" applyBorder="1" applyAlignment="1">
      <alignment horizontal="center"/>
    </xf>
    <xf numFmtId="0" fontId="17" fillId="0" borderId="0" xfId="12" applyFont="1" applyFill="1" applyBorder="1"/>
    <xf numFmtId="0" fontId="17" fillId="4" borderId="0" xfId="12" applyFont="1" applyFill="1" applyBorder="1"/>
    <xf numFmtId="0" fontId="127" fillId="4" borderId="51" xfId="12" applyFont="1" applyFill="1" applyBorder="1"/>
    <xf numFmtId="4" fontId="176" fillId="4" borderId="12" xfId="42" applyNumberFormat="1" applyFont="1" applyFill="1" applyBorder="1" applyAlignment="1">
      <alignment horizontal="right" vertical="center" wrapText="1"/>
    </xf>
    <xf numFmtId="10" fontId="40" fillId="4" borderId="0" xfId="41" applyNumberFormat="1" applyFont="1" applyFill="1" applyAlignment="1">
      <alignment vertical="center"/>
    </xf>
    <xf numFmtId="0" fontId="88" fillId="0" borderId="4" xfId="0" applyFont="1" applyFill="1" applyBorder="1" applyAlignment="1" applyProtection="1">
      <alignment vertical="center"/>
      <protection locked="0"/>
    </xf>
    <xf numFmtId="0" fontId="88" fillId="0" borderId="5" xfId="0" applyFont="1" applyFill="1" applyBorder="1" applyAlignment="1" applyProtection="1">
      <alignment vertical="center"/>
      <protection locked="0"/>
    </xf>
    <xf numFmtId="0" fontId="2" fillId="0" borderId="0" xfId="64"/>
    <xf numFmtId="0" fontId="2" fillId="0" borderId="0" xfId="64" applyAlignment="1">
      <alignment horizontal="center"/>
    </xf>
    <xf numFmtId="0" fontId="2" fillId="0" borderId="1" xfId="64" applyBorder="1" applyAlignment="1">
      <alignment horizontal="center"/>
    </xf>
    <xf numFmtId="0" fontId="2" fillId="0" borderId="2" xfId="64" applyBorder="1" applyAlignment="1">
      <alignment horizontal="center"/>
    </xf>
    <xf numFmtId="0" fontId="2" fillId="0" borderId="3" xfId="64" applyBorder="1" applyAlignment="1">
      <alignment horizontal="center"/>
    </xf>
    <xf numFmtId="0" fontId="2" fillId="0" borderId="5" xfId="64" applyBorder="1"/>
    <xf numFmtId="0" fontId="2" fillId="0" borderId="5" xfId="64" applyBorder="1" applyAlignment="1">
      <alignment vertical="center"/>
    </xf>
    <xf numFmtId="0" fontId="2" fillId="0" borderId="5" xfId="64" applyFont="1" applyBorder="1" applyAlignment="1">
      <alignment vertical="center"/>
    </xf>
    <xf numFmtId="0" fontId="2" fillId="0" borderId="5" xfId="64" applyFont="1" applyBorder="1"/>
    <xf numFmtId="0" fontId="2" fillId="0" borderId="4" xfId="64" applyBorder="1"/>
    <xf numFmtId="167" fontId="2" fillId="0" borderId="0" xfId="64" applyNumberFormat="1"/>
    <xf numFmtId="0" fontId="2" fillId="0" borderId="4" xfId="64" applyBorder="1" applyAlignment="1">
      <alignment horizontal="center"/>
    </xf>
    <xf numFmtId="0" fontId="107" fillId="0" borderId="0" xfId="64" applyFont="1" applyAlignment="1">
      <alignment vertical="center"/>
    </xf>
    <xf numFmtId="0" fontId="109" fillId="0" borderId="0" xfId="64" applyNumberFormat="1" applyFont="1" applyFill="1"/>
    <xf numFmtId="0" fontId="109" fillId="0" borderId="0" xfId="64" applyFont="1" applyAlignment="1">
      <alignment horizontal="left" vertical="center"/>
    </xf>
    <xf numFmtId="0" fontId="109" fillId="0" borderId="0" xfId="64" applyFont="1" applyAlignment="1">
      <alignment horizontal="center" vertical="center"/>
    </xf>
    <xf numFmtId="4" fontId="107" fillId="0" borderId="0" xfId="64" applyNumberFormat="1" applyFont="1" applyFill="1"/>
    <xf numFmtId="4" fontId="107" fillId="0" borderId="0" xfId="64" applyNumberFormat="1" applyFont="1" applyFill="1" applyAlignment="1"/>
    <xf numFmtId="0" fontId="2" fillId="0" borderId="5" xfId="64" applyBorder="1" applyAlignment="1">
      <alignment vertical="top"/>
    </xf>
    <xf numFmtId="0" fontId="109" fillId="0" borderId="0" xfId="64" quotePrefix="1" applyFont="1" applyAlignment="1">
      <alignment horizontal="left" vertical="center"/>
    </xf>
    <xf numFmtId="0" fontId="2" fillId="0" borderId="9" xfId="64" applyBorder="1" applyAlignment="1">
      <alignment horizontal="left"/>
    </xf>
    <xf numFmtId="0" fontId="2" fillId="0" borderId="9" xfId="64" applyBorder="1"/>
    <xf numFmtId="0" fontId="164" fillId="0" borderId="0" xfId="12" applyFont="1" applyAlignment="1">
      <alignment horizontal="center" vertical="center"/>
    </xf>
    <xf numFmtId="10" fontId="141" fillId="7" borderId="0" xfId="41" applyNumberFormat="1" applyFont="1" applyFill="1" applyAlignment="1">
      <alignment horizontal="center" vertical="center"/>
    </xf>
    <xf numFmtId="10" fontId="111" fillId="0" borderId="0" xfId="41" applyNumberFormat="1" applyFont="1" applyAlignment="1">
      <alignment horizontal="center" vertical="center"/>
    </xf>
    <xf numFmtId="0" fontId="60" fillId="0" borderId="0" xfId="19" applyFont="1" applyAlignment="1">
      <alignment horizontal="center"/>
    </xf>
    <xf numFmtId="0" fontId="61" fillId="0" borderId="0" xfId="19" applyFont="1" applyAlignment="1">
      <alignment horizontal="center"/>
    </xf>
    <xf numFmtId="0" fontId="14" fillId="0" borderId="0" xfId="14" applyBorder="1" applyAlignment="1">
      <alignment horizontal="center" vertical="center" wrapText="1"/>
    </xf>
    <xf numFmtId="171" fontId="143" fillId="0" borderId="0" xfId="58" applyNumberFormat="1" applyFont="1" applyAlignment="1">
      <alignment horizontal="left"/>
    </xf>
    <xf numFmtId="0" fontId="14" fillId="0" borderId="0" xfId="14" applyAlignment="1">
      <alignment horizontal="center" vertical="center"/>
    </xf>
    <xf numFmtId="43" fontId="14" fillId="0" borderId="0" xfId="14" applyNumberFormat="1" applyBorder="1" applyAlignment="1">
      <alignment horizontal="center"/>
    </xf>
    <xf numFmtId="43" fontId="14" fillId="0" borderId="0" xfId="34" applyNumberFormat="1" applyFont="1" applyBorder="1" applyAlignment="1">
      <alignment horizontal="center"/>
    </xf>
    <xf numFmtId="0" fontId="14" fillId="0" borderId="5" xfId="14" applyBorder="1" applyAlignment="1">
      <alignment horizontal="center" vertical="center"/>
    </xf>
    <xf numFmtId="164" fontId="14" fillId="0" borderId="5" xfId="40" applyFont="1" applyBorder="1"/>
    <xf numFmtId="0" fontId="55" fillId="0" borderId="5" xfId="14" applyFont="1" applyBorder="1" applyAlignment="1">
      <alignment horizontal="center"/>
    </xf>
    <xf numFmtId="164" fontId="21" fillId="0" borderId="5" xfId="40" applyFont="1" applyBorder="1"/>
    <xf numFmtId="0" fontId="14" fillId="0" borderId="0" xfId="14" applyBorder="1"/>
    <xf numFmtId="164" fontId="14" fillId="0" borderId="0" xfId="40" applyFont="1" applyBorder="1"/>
    <xf numFmtId="164" fontId="21" fillId="0" borderId="0" xfId="40" applyFont="1" applyBorder="1"/>
    <xf numFmtId="4" fontId="14" fillId="0" borderId="0" xfId="14" applyNumberFormat="1" applyBorder="1" applyAlignment="1">
      <alignment horizontal="center" vertical="center" wrapText="1"/>
    </xf>
    <xf numFmtId="4" fontId="14" fillId="0" borderId="0" xfId="14" applyNumberFormat="1" applyBorder="1" applyAlignment="1">
      <alignment horizontal="center"/>
    </xf>
    <xf numFmtId="164" fontId="14" fillId="0" borderId="0" xfId="14" applyNumberFormat="1" applyBorder="1" applyAlignment="1">
      <alignment horizontal="center" vertical="center" wrapText="1"/>
    </xf>
    <xf numFmtId="164" fontId="14" fillId="0" borderId="0" xfId="40" applyFont="1" applyBorder="1" applyAlignment="1">
      <alignment horizontal="center"/>
    </xf>
    <xf numFmtId="164" fontId="14" fillId="0" borderId="0" xfId="40" applyFont="1" applyBorder="1" applyAlignment="1">
      <alignment horizontal="center" vertical="center" wrapText="1"/>
    </xf>
    <xf numFmtId="164" fontId="14" fillId="0" borderId="5" xfId="40" applyFont="1" applyBorder="1" applyAlignment="1">
      <alignment horizontal="center" vertical="center" wrapText="1"/>
    </xf>
    <xf numFmtId="164" fontId="14" fillId="0" borderId="5" xfId="40" applyFont="1" applyBorder="1" applyAlignment="1">
      <alignment horizontal="center"/>
    </xf>
    <xf numFmtId="164" fontId="21" fillId="0" borderId="5" xfId="40" applyFont="1" applyBorder="1" applyAlignment="1">
      <alignment horizontal="center"/>
    </xf>
    <xf numFmtId="49" fontId="14" fillId="0" borderId="0" xfId="40" applyNumberFormat="1" applyFont="1" applyBorder="1" applyAlignment="1">
      <alignment horizontal="center" vertical="center" wrapText="1"/>
    </xf>
    <xf numFmtId="164" fontId="14" fillId="0" borderId="9" xfId="40" applyFont="1" applyBorder="1" applyAlignment="1">
      <alignment horizontal="center" vertical="center" wrapText="1"/>
    </xf>
    <xf numFmtId="164" fontId="14" fillId="0" borderId="9" xfId="40" applyFont="1" applyBorder="1" applyAlignment="1">
      <alignment horizontal="center"/>
    </xf>
    <xf numFmtId="49" fontId="14" fillId="0" borderId="5" xfId="40" applyNumberFormat="1" applyFont="1" applyBorder="1" applyAlignment="1">
      <alignment horizontal="center" vertical="center" wrapText="1"/>
    </xf>
    <xf numFmtId="49" fontId="14"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7" fontId="176" fillId="7" borderId="0" xfId="40" applyNumberFormat="1" applyFont="1" applyFill="1"/>
    <xf numFmtId="0" fontId="111" fillId="0" borderId="0" xfId="12" applyFont="1" applyAlignment="1">
      <alignment horizontal="center" vertical="center"/>
    </xf>
    <xf numFmtId="0" fontId="111" fillId="0" borderId="0" xfId="12" applyFont="1" applyBorder="1" applyAlignment="1">
      <alignment vertical="center"/>
    </xf>
    <xf numFmtId="4" fontId="111" fillId="0" borderId="0" xfId="12" applyNumberFormat="1" applyFont="1" applyFill="1" applyAlignment="1">
      <alignment horizontal="left"/>
    </xf>
    <xf numFmtId="0" fontId="111" fillId="0" borderId="0" xfId="12" applyFont="1" applyAlignment="1">
      <alignment horizontal="center" vertical="center"/>
    </xf>
    <xf numFmtId="0" fontId="112" fillId="0" borderId="0" xfId="12" applyFont="1" applyAlignment="1">
      <alignment horizontal="left" vertical="center"/>
    </xf>
    <xf numFmtId="0" fontId="127" fillId="0" borderId="0" xfId="12" applyFont="1" applyAlignment="1">
      <alignment horizontal="center"/>
    </xf>
    <xf numFmtId="14" fontId="40" fillId="0" borderId="0" xfId="12" applyNumberFormat="1" applyFont="1" applyAlignment="1">
      <alignment horizontal="right" vertical="center"/>
    </xf>
    <xf numFmtId="0" fontId="127" fillId="0" borderId="0" xfId="12" applyFont="1" applyAlignment="1">
      <alignment horizontal="center" vertical="center"/>
    </xf>
    <xf numFmtId="0" fontId="153" fillId="0" borderId="0" xfId="12" applyFont="1" applyAlignment="1">
      <alignment horizontal="center"/>
    </xf>
    <xf numFmtId="0" fontId="111" fillId="4" borderId="0" xfId="12" applyFont="1" applyFill="1" applyBorder="1" applyAlignment="1">
      <alignment horizontal="left" vertical="center" wrapText="1"/>
    </xf>
    <xf numFmtId="4" fontId="142" fillId="4" borderId="10" xfId="12" applyNumberFormat="1" applyFont="1" applyFill="1" applyBorder="1" applyAlignment="1">
      <alignment horizontal="center" vertical="center"/>
    </xf>
    <xf numFmtId="0" fontId="1" fillId="0" borderId="5" xfId="64" applyFont="1" applyBorder="1"/>
    <xf numFmtId="4" fontId="111" fillId="0" borderId="0" xfId="12" applyNumberFormat="1" applyFont="1" applyFill="1" applyAlignment="1">
      <alignment horizontal="left" vertical="center" wrapText="1"/>
    </xf>
    <xf numFmtId="4" fontId="111" fillId="0" borderId="0" xfId="12" applyNumberFormat="1" applyFont="1" applyFill="1" applyAlignment="1">
      <alignment horizontal="left" vertical="center"/>
    </xf>
    <xf numFmtId="0" fontId="111" fillId="0" borderId="0" xfId="12" applyFont="1" applyBorder="1" applyAlignment="1">
      <alignment horizontal="left" vertical="center"/>
    </xf>
    <xf numFmtId="0" fontId="112" fillId="0" borderId="0" xfId="0" applyFont="1" applyAlignment="1">
      <alignment vertical="center"/>
    </xf>
    <xf numFmtId="164" fontId="111" fillId="4" borderId="46" xfId="2" applyFont="1" applyFill="1" applyBorder="1" applyAlignment="1">
      <alignment vertical="center"/>
    </xf>
    <xf numFmtId="164" fontId="111" fillId="4" borderId="54" xfId="2" applyFont="1" applyFill="1" applyBorder="1" applyAlignment="1">
      <alignment vertical="center"/>
    </xf>
    <xf numFmtId="164" fontId="111" fillId="4" borderId="55" xfId="2" applyFont="1" applyFill="1" applyBorder="1" applyAlignment="1">
      <alignment vertical="center"/>
    </xf>
    <xf numFmtId="0" fontId="13" fillId="6" borderId="26" xfId="14" applyFont="1" applyFill="1" applyBorder="1" applyAlignment="1">
      <alignment horizontal="center"/>
    </xf>
    <xf numFmtId="0" fontId="13" fillId="6" borderId="28" xfId="14" applyFont="1" applyFill="1" applyBorder="1" applyAlignment="1">
      <alignment horizontal="center"/>
    </xf>
    <xf numFmtId="0" fontId="13" fillId="6" borderId="29" xfId="14" applyFont="1" applyFill="1" applyBorder="1" applyAlignment="1">
      <alignment horizontal="center"/>
    </xf>
    <xf numFmtId="4" fontId="21" fillId="0" borderId="5" xfId="14" applyNumberFormat="1" applyFont="1" applyBorder="1" applyAlignment="1">
      <alignment vertical="center"/>
    </xf>
    <xf numFmtId="10" fontId="21" fillId="0" borderId="5" xfId="30" applyNumberFormat="1" applyFont="1" applyBorder="1" applyAlignment="1">
      <alignment vertical="center"/>
    </xf>
    <xf numFmtId="0" fontId="21" fillId="6" borderId="9" xfId="14" applyFont="1" applyFill="1" applyBorder="1" applyAlignment="1">
      <alignment horizontal="center" vertical="center" wrapText="1"/>
    </xf>
    <xf numFmtId="0" fontId="21" fillId="6" borderId="17" xfId="14" applyFont="1" applyFill="1" applyBorder="1" applyAlignment="1">
      <alignment horizontal="center" vertical="center" wrapText="1"/>
    </xf>
    <xf numFmtId="0" fontId="21" fillId="6" borderId="25" xfId="14" applyFont="1" applyFill="1" applyBorder="1" applyAlignment="1">
      <alignment horizontal="center" vertical="center" wrapText="1"/>
    </xf>
    <xf numFmtId="0" fontId="21" fillId="6" borderId="13" xfId="14" applyFont="1" applyFill="1" applyBorder="1" applyAlignment="1">
      <alignment horizontal="center" vertical="center" wrapText="1"/>
    </xf>
    <xf numFmtId="10" fontId="40"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7" fillId="0" borderId="0" xfId="12" applyFont="1" applyFill="1" applyBorder="1" applyAlignment="1">
      <alignment horizontal="center" vertical="center"/>
    </xf>
    <xf numFmtId="49" fontId="38" fillId="0" borderId="0" xfId="42" applyNumberFormat="1" applyFont="1" applyFill="1" applyBorder="1" applyAlignment="1">
      <alignment vertical="center"/>
    </xf>
    <xf numFmtId="10" fontId="39" fillId="4" borderId="0" xfId="12" applyNumberFormat="1" applyFont="1" applyFill="1" applyBorder="1" applyAlignment="1">
      <alignment vertical="center"/>
    </xf>
    <xf numFmtId="10" fontId="11" fillId="0" borderId="0" xfId="27" applyNumberFormat="1" applyFont="1" applyFill="1" applyBorder="1"/>
    <xf numFmtId="10" fontId="11" fillId="4" borderId="0" xfId="27" applyNumberFormat="1" applyFont="1" applyFill="1" applyBorder="1"/>
    <xf numFmtId="10" fontId="127" fillId="4" borderId="0" xfId="27" applyNumberFormat="1" applyFont="1" applyFill="1" applyBorder="1"/>
    <xf numFmtId="4" fontId="176" fillId="4" borderId="0" xfId="42" applyNumberFormat="1" applyFont="1" applyFill="1"/>
    <xf numFmtId="0" fontId="88" fillId="7" borderId="4" xfId="0" applyFont="1" applyFill="1" applyBorder="1" applyAlignment="1" applyProtection="1">
      <alignment vertical="center"/>
      <protection locked="0"/>
    </xf>
    <xf numFmtId="0" fontId="88"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5" fillId="0" borderId="4" xfId="0" applyFont="1" applyFill="1" applyBorder="1" applyAlignment="1" applyProtection="1">
      <alignment vertical="center"/>
      <protection locked="0"/>
    </xf>
    <xf numFmtId="0" fontId="95" fillId="0" borderId="5" xfId="0" applyFont="1" applyFill="1" applyBorder="1" applyAlignment="1" applyProtection="1">
      <alignment vertical="center"/>
      <protection locked="0"/>
    </xf>
    <xf numFmtId="0" fontId="95" fillId="0" borderId="6" xfId="0" applyFont="1" applyFill="1" applyBorder="1" applyAlignment="1" applyProtection="1">
      <alignment horizontal="center" vertical="center"/>
      <protection locked="0"/>
    </xf>
    <xf numFmtId="0" fontId="15" fillId="0" borderId="4" xfId="0" applyFont="1" applyFill="1" applyBorder="1" applyAlignment="1" applyProtection="1">
      <alignment vertical="center"/>
      <protection locked="0"/>
    </xf>
    <xf numFmtId="0" fontId="15" fillId="0" borderId="5" xfId="0" applyFont="1" applyFill="1" applyBorder="1" applyAlignment="1" applyProtection="1">
      <alignment vertical="center"/>
      <protection locked="0"/>
    </xf>
    <xf numFmtId="0" fontId="15" fillId="0" borderId="6" xfId="0" applyFont="1" applyFill="1" applyBorder="1" applyAlignment="1" applyProtection="1">
      <alignment horizontal="center" vertical="center"/>
      <protection locked="0"/>
    </xf>
    <xf numFmtId="4" fontId="14" fillId="0" borderId="54" xfId="14" applyNumberFormat="1" applyBorder="1"/>
    <xf numFmtId="4" fontId="21" fillId="0" borderId="5" xfId="14" applyNumberFormat="1" applyFont="1" applyBorder="1"/>
    <xf numFmtId="0" fontId="108" fillId="0" borderId="22" xfId="0" applyFont="1" applyBorder="1" applyAlignment="1">
      <alignment horizontal="left" vertical="center" wrapText="1"/>
    </xf>
    <xf numFmtId="0" fontId="108" fillId="0" borderId="6" xfId="0" applyFont="1" applyBorder="1" applyAlignment="1">
      <alignment horizontal="left" vertical="center" wrapText="1"/>
    </xf>
    <xf numFmtId="167" fontId="2" fillId="0" borderId="22" xfId="64" applyNumberFormat="1" applyBorder="1" applyAlignment="1">
      <alignment horizontal="center"/>
    </xf>
    <xf numFmtId="0" fontId="2" fillId="0" borderId="0" xfId="64" applyFont="1" applyBorder="1"/>
    <xf numFmtId="0" fontId="110" fillId="0" borderId="6" xfId="0" applyFont="1" applyBorder="1" applyAlignment="1">
      <alignment horizontal="center"/>
    </xf>
    <xf numFmtId="0" fontId="110" fillId="0" borderId="22" xfId="0" applyFont="1" applyBorder="1" applyAlignment="1">
      <alignment horizontal="center"/>
    </xf>
    <xf numFmtId="0" fontId="110" fillId="0" borderId="6" xfId="0" applyFont="1" applyFill="1" applyBorder="1" applyAlignment="1">
      <alignment horizontal="center"/>
    </xf>
    <xf numFmtId="0" fontId="2" fillId="0" borderId="7" xfId="64" applyBorder="1"/>
    <xf numFmtId="0" fontId="2" fillId="0" borderId="8" xfId="64" applyBorder="1"/>
    <xf numFmtId="4" fontId="40" fillId="0" borderId="0" xfId="12" applyNumberFormat="1" applyFont="1" applyFill="1" applyBorder="1" applyAlignment="1">
      <alignment horizontal="center" vertical="center"/>
    </xf>
    <xf numFmtId="0" fontId="88" fillId="4" borderId="47" xfId="0" applyFont="1" applyFill="1" applyBorder="1" applyAlignment="1" applyProtection="1">
      <alignment vertical="center"/>
      <protection locked="0"/>
    </xf>
    <xf numFmtId="0" fontId="88" fillId="4" borderId="13" xfId="0" applyFont="1" applyFill="1" applyBorder="1" applyAlignment="1" applyProtection="1">
      <alignment vertical="center"/>
      <protection locked="0"/>
    </xf>
    <xf numFmtId="0" fontId="88" fillId="4" borderId="48" xfId="0" applyFont="1" applyFill="1" applyBorder="1" applyAlignment="1" applyProtection="1">
      <alignment horizontal="center" vertical="center"/>
      <protection locked="0"/>
    </xf>
    <xf numFmtId="0" fontId="88" fillId="4" borderId="7" xfId="0" applyFont="1" applyFill="1" applyBorder="1" applyAlignment="1" applyProtection="1">
      <alignment vertical="center"/>
      <protection locked="0"/>
    </xf>
    <xf numFmtId="0" fontId="88" fillId="4" borderId="8" xfId="0" applyFont="1" applyFill="1" applyBorder="1" applyAlignment="1" applyProtection="1">
      <alignment vertical="center"/>
      <protection locked="0"/>
    </xf>
    <xf numFmtId="0" fontId="88" fillId="4" borderId="35" xfId="0" applyFont="1" applyFill="1" applyBorder="1" applyAlignment="1" applyProtection="1">
      <alignment horizontal="center" vertical="center"/>
      <protection locked="0"/>
    </xf>
    <xf numFmtId="0" fontId="40" fillId="0" borderId="0" xfId="12" applyFont="1" applyFill="1"/>
    <xf numFmtId="4" fontId="40" fillId="0" borderId="0" xfId="0" applyNumberFormat="1" applyFont="1" applyFill="1" applyBorder="1" applyAlignment="1">
      <alignment horizontal="center" vertical="center"/>
    </xf>
    <xf numFmtId="4" fontId="40" fillId="0" borderId="0" xfId="0" applyNumberFormat="1" applyFont="1" applyFill="1" applyBorder="1" applyAlignment="1">
      <alignment horizontal="center"/>
    </xf>
    <xf numFmtId="4" fontId="40"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4" fillId="0" borderId="0" xfId="0" applyFont="1"/>
    <xf numFmtId="4" fontId="39" fillId="4" borderId="15" xfId="12" applyNumberFormat="1" applyFont="1" applyFill="1" applyBorder="1" applyAlignment="1">
      <alignment horizontal="center" vertical="center"/>
    </xf>
    <xf numFmtId="4" fontId="189" fillId="26" borderId="9" xfId="0" applyNumberFormat="1" applyFont="1" applyFill="1" applyBorder="1" applyAlignment="1">
      <alignment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1" fillId="4" borderId="28" xfId="12" applyNumberFormat="1" applyFont="1" applyFill="1" applyBorder="1" applyAlignment="1">
      <alignment horizontal="center" vertical="center"/>
    </xf>
    <xf numFmtId="4" fontId="111" fillId="4" borderId="10" xfId="12" applyNumberFormat="1" applyFont="1" applyFill="1" applyBorder="1" applyAlignment="1">
      <alignment horizontal="center" vertical="center"/>
    </xf>
    <xf numFmtId="170" fontId="111" fillId="0" borderId="0" xfId="42" applyNumberFormat="1" applyFont="1"/>
    <xf numFmtId="0" fontId="127" fillId="0" borderId="0" xfId="12" applyFont="1"/>
    <xf numFmtId="4" fontId="127" fillId="23" borderId="31" xfId="12" applyNumberFormat="1" applyFont="1" applyFill="1" applyBorder="1" applyAlignment="1">
      <alignment horizontal="center" vertical="center"/>
    </xf>
    <xf numFmtId="4" fontId="127" fillId="23" borderId="47" xfId="0" applyNumberFormat="1" applyFont="1" applyFill="1" applyBorder="1" applyAlignment="1">
      <alignment horizontal="center" vertical="center"/>
    </xf>
    <xf numFmtId="4" fontId="127" fillId="23" borderId="4" xfId="0" applyNumberFormat="1" applyFont="1" applyFill="1" applyBorder="1" applyAlignment="1">
      <alignment horizontal="center" vertical="center"/>
    </xf>
    <xf numFmtId="4" fontId="127" fillId="23" borderId="7" xfId="0" applyNumberFormat="1" applyFont="1" applyFill="1" applyBorder="1" applyAlignment="1">
      <alignment horizontal="center" vertical="center"/>
    </xf>
    <xf numFmtId="4" fontId="0" fillId="0" borderId="0" xfId="0" applyNumberFormat="1"/>
    <xf numFmtId="0" fontId="38" fillId="0" borderId="6" xfId="42" applyFont="1" applyBorder="1" applyAlignment="1" applyProtection="1">
      <alignment vertical="center"/>
      <protection locked="0"/>
    </xf>
    <xf numFmtId="0" fontId="38" fillId="0" borderId="4" xfId="42" applyFont="1" applyBorder="1" applyAlignment="1" applyProtection="1">
      <alignment vertical="center"/>
      <protection locked="0"/>
    </xf>
    <xf numFmtId="4" fontId="39"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39" fillId="23" borderId="6" xfId="12" applyNumberFormat="1" applyFont="1" applyFill="1" applyBorder="1" applyAlignment="1">
      <alignment horizontal="center" vertical="center"/>
    </xf>
    <xf numFmtId="0" fontId="39" fillId="0" borderId="62" xfId="42" applyFont="1" applyBorder="1" applyAlignment="1" applyProtection="1">
      <alignment horizontal="center" vertical="center"/>
      <protection locked="0"/>
    </xf>
    <xf numFmtId="4" fontId="39" fillId="23" borderId="35" xfId="12" applyNumberFormat="1" applyFont="1" applyFill="1" applyBorder="1" applyAlignment="1">
      <alignment horizontal="center" vertical="center"/>
    </xf>
    <xf numFmtId="2" fontId="39"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2" fillId="0" borderId="5" xfId="12" applyFont="1" applyFill="1" applyBorder="1" applyAlignment="1">
      <alignment horizontal="left" vertical="top" wrapText="1"/>
    </xf>
    <xf numFmtId="2" fontId="39" fillId="0" borderId="5" xfId="12" applyNumberFormat="1" applyFont="1" applyFill="1" applyBorder="1" applyAlignment="1">
      <alignment horizontal="center"/>
    </xf>
    <xf numFmtId="10" fontId="0" fillId="0" borderId="0" xfId="41" applyNumberFormat="1" applyFont="1"/>
    <xf numFmtId="0" fontId="88" fillId="7" borderId="5" xfId="0" applyFont="1" applyFill="1" applyBorder="1" applyAlignment="1" applyProtection="1">
      <alignment vertical="center"/>
      <protection locked="0"/>
    </xf>
    <xf numFmtId="4" fontId="40" fillId="7" borderId="4" xfId="0" applyNumberFormat="1" applyFont="1" applyFill="1" applyBorder="1" applyAlignment="1">
      <alignment horizontal="center" vertical="center"/>
    </xf>
    <xf numFmtId="0" fontId="13" fillId="2" borderId="56" xfId="12" applyFont="1" applyFill="1" applyBorder="1" applyAlignment="1">
      <alignment horizontal="center" vertical="center"/>
    </xf>
    <xf numFmtId="0" fontId="13" fillId="2" borderId="68" xfId="12" applyFont="1" applyFill="1" applyBorder="1" applyAlignment="1">
      <alignment horizontal="center" vertical="center"/>
    </xf>
    <xf numFmtId="0" fontId="13" fillId="2" borderId="56" xfId="12" applyFont="1" applyFill="1" applyBorder="1" applyAlignment="1">
      <alignment horizontal="distributed"/>
    </xf>
    <xf numFmtId="0" fontId="13" fillId="2" borderId="68" xfId="12" applyFont="1" applyFill="1" applyBorder="1" applyAlignment="1">
      <alignment horizontal="distributed"/>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13" fillId="2" borderId="18" xfId="12" applyFont="1" applyFill="1" applyBorder="1" applyAlignment="1">
      <alignment horizontal="center"/>
    </xf>
    <xf numFmtId="0" fontId="13" fillId="2" borderId="19" xfId="12" applyFont="1" applyFill="1" applyBorder="1" applyAlignment="1">
      <alignment horizontal="center"/>
    </xf>
    <xf numFmtId="0" fontId="13" fillId="2" borderId="20" xfId="12" applyFont="1" applyFill="1" applyBorder="1" applyAlignment="1">
      <alignment horizontal="center"/>
    </xf>
    <xf numFmtId="0" fontId="21" fillId="2" borderId="9" xfId="12" applyNumberFormat="1" applyFont="1" applyFill="1" applyBorder="1" applyAlignment="1">
      <alignment horizontal="center"/>
    </xf>
    <xf numFmtId="0" fontId="21" fillId="2" borderId="10" xfId="12" applyNumberFormat="1" applyFont="1" applyFill="1" applyBorder="1" applyAlignment="1">
      <alignment horizontal="center"/>
    </xf>
    <xf numFmtId="0" fontId="21" fillId="2" borderId="17" xfId="12" applyNumberFormat="1" applyFont="1" applyFill="1" applyBorder="1" applyAlignment="1">
      <alignment horizontal="center"/>
    </xf>
    <xf numFmtId="0" fontId="21" fillId="0" borderId="0" xfId="12" applyFont="1" applyAlignment="1">
      <alignment horizontal="center"/>
    </xf>
    <xf numFmtId="0" fontId="13" fillId="0" borderId="0" xfId="12" applyFont="1" applyAlignment="1">
      <alignment horizontal="center"/>
    </xf>
    <xf numFmtId="14" fontId="25" fillId="0" borderId="18" xfId="12" applyNumberFormat="1" applyFont="1" applyBorder="1" applyAlignment="1">
      <alignment horizontal="left" vertical="center" wrapText="1"/>
    </xf>
    <xf numFmtId="14" fontId="25" fillId="0" borderId="19" xfId="12" applyNumberFormat="1" applyFont="1" applyBorder="1" applyAlignment="1">
      <alignment horizontal="left" vertical="center" wrapText="1"/>
    </xf>
    <xf numFmtId="14" fontId="25" fillId="0" borderId="20" xfId="12" applyNumberFormat="1" applyFont="1" applyBorder="1" applyAlignment="1">
      <alignment horizontal="left" vertical="center" wrapText="1"/>
    </xf>
    <xf numFmtId="14" fontId="11" fillId="0" borderId="0" xfId="12" applyNumberFormat="1" applyFont="1" applyAlignment="1">
      <alignment horizontal="right" vertical="top"/>
    </xf>
    <xf numFmtId="0" fontId="13" fillId="2" borderId="34" xfId="12" applyFont="1" applyFill="1" applyBorder="1" applyAlignment="1">
      <alignment horizontal="center" vertical="center"/>
    </xf>
    <xf numFmtId="0" fontId="15" fillId="2" borderId="34" xfId="12" applyFont="1" applyFill="1" applyBorder="1" applyAlignment="1">
      <alignment horizontal="center" vertical="center"/>
    </xf>
    <xf numFmtId="0" fontId="13" fillId="2" borderId="49" xfId="12" applyFont="1" applyFill="1" applyBorder="1" applyAlignment="1">
      <alignment horizontal="center" vertical="center"/>
    </xf>
    <xf numFmtId="0" fontId="13" fillId="2" borderId="53" xfId="12" applyFont="1" applyFill="1" applyBorder="1" applyAlignment="1">
      <alignment horizontal="center" vertical="center"/>
    </xf>
    <xf numFmtId="0" fontId="13" fillId="2" borderId="66" xfId="12" applyFont="1" applyFill="1" applyBorder="1" applyAlignment="1">
      <alignment horizontal="center" vertical="center"/>
    </xf>
    <xf numFmtId="0" fontId="13" fillId="2" borderId="50" xfId="12" applyFont="1" applyFill="1" applyBorder="1" applyAlignment="1">
      <alignment horizontal="center" vertical="center"/>
    </xf>
    <xf numFmtId="0" fontId="13" fillId="2" borderId="51" xfId="12" applyFont="1" applyFill="1" applyBorder="1" applyAlignment="1">
      <alignment horizontal="center" vertical="center"/>
    </xf>
    <xf numFmtId="0" fontId="13" fillId="2" borderId="52" xfId="12" applyFont="1" applyFill="1" applyBorder="1" applyAlignment="1">
      <alignment horizontal="center" vertical="center"/>
    </xf>
    <xf numFmtId="0" fontId="13" fillId="2" borderId="56" xfId="12" applyFont="1" applyFill="1" applyBorder="1" applyAlignment="1">
      <alignment horizontal="distributed" vertical="center"/>
    </xf>
    <xf numFmtId="0" fontId="13" fillId="2" borderId="68" xfId="12" applyFont="1" applyFill="1" applyBorder="1" applyAlignment="1">
      <alignment horizontal="distributed" vertical="center"/>
    </xf>
    <xf numFmtId="0" fontId="14" fillId="0" borderId="54" xfId="0" applyFont="1" applyBorder="1" applyAlignment="1">
      <alignment horizontal="center"/>
    </xf>
    <xf numFmtId="0" fontId="109" fillId="0" borderId="0" xfId="64" applyFont="1" applyAlignment="1">
      <alignment horizontal="left" vertical="center" wrapText="1"/>
    </xf>
    <xf numFmtId="0" fontId="75" fillId="4" borderId="5" xfId="12" applyFont="1" applyFill="1" applyBorder="1" applyAlignment="1">
      <alignment horizontal="left" vertical="top" wrapText="1"/>
    </xf>
    <xf numFmtId="0" fontId="75" fillId="4" borderId="6" xfId="12" applyFont="1" applyFill="1" applyBorder="1" applyAlignment="1">
      <alignment horizontal="left" vertical="top" wrapText="1"/>
    </xf>
    <xf numFmtId="0" fontId="75" fillId="4" borderId="8" xfId="12" applyFont="1" applyFill="1" applyBorder="1" applyAlignment="1">
      <alignment horizontal="left" vertical="top" wrapText="1"/>
    </xf>
    <xf numFmtId="0" fontId="75" fillId="4" borderId="35" xfId="12" applyFont="1" applyFill="1" applyBorder="1" applyAlignment="1">
      <alignment horizontal="left" vertical="top" wrapText="1"/>
    </xf>
    <xf numFmtId="0" fontId="106" fillId="0" borderId="0" xfId="64" applyFont="1" applyAlignment="1">
      <alignment horizontal="center"/>
    </xf>
    <xf numFmtId="0" fontId="2" fillId="0" borderId="0" xfId="64" applyAlignment="1">
      <alignment horizontal="center"/>
    </xf>
    <xf numFmtId="0" fontId="106" fillId="0" borderId="51" xfId="64" applyFont="1" applyBorder="1" applyAlignment="1">
      <alignment horizontal="center"/>
    </xf>
    <xf numFmtId="0" fontId="107" fillId="0" borderId="44" xfId="12" applyFont="1" applyBorder="1" applyAlignment="1">
      <alignment horizontal="center" vertical="center"/>
    </xf>
    <xf numFmtId="0" fontId="107" fillId="0" borderId="47" xfId="12" applyFont="1" applyBorder="1" applyAlignment="1">
      <alignment horizontal="center" vertical="center"/>
    </xf>
    <xf numFmtId="0" fontId="38" fillId="0" borderId="5" xfId="42" applyFont="1" applyBorder="1" applyAlignment="1">
      <alignment horizontal="center" vertical="center" wrapText="1"/>
    </xf>
    <xf numFmtId="0" fontId="39" fillId="0" borderId="5" xfId="42" applyFont="1" applyBorder="1" applyAlignment="1">
      <alignment horizontal="left" vertical="center" wrapText="1"/>
    </xf>
    <xf numFmtId="0" fontId="39" fillId="0" borderId="25" xfId="42" applyFont="1" applyBorder="1" applyAlignment="1">
      <alignment horizontal="center" vertical="center" wrapText="1"/>
    </xf>
    <xf numFmtId="0" fontId="39" fillId="0" borderId="11" xfId="42" applyFont="1" applyBorder="1" applyAlignment="1">
      <alignment horizontal="center" vertical="center" wrapText="1"/>
    </xf>
    <xf numFmtId="0" fontId="39" fillId="0" borderId="13" xfId="42" applyFont="1" applyBorder="1" applyAlignment="1">
      <alignment horizontal="center" vertical="center" wrapText="1"/>
    </xf>
    <xf numFmtId="0" fontId="39" fillId="0" borderId="9" xfId="42" applyFont="1" applyBorder="1" applyAlignment="1">
      <alignment horizontal="left" vertical="center" wrapText="1"/>
    </xf>
    <xf numFmtId="0" fontId="39" fillId="0" borderId="10" xfId="42" applyFont="1" applyBorder="1" applyAlignment="1">
      <alignment horizontal="left" vertical="center" wrapText="1"/>
    </xf>
    <xf numFmtId="0" fontId="39" fillId="0" borderId="17" xfId="42" applyFont="1" applyBorder="1" applyAlignment="1">
      <alignment horizontal="left" vertical="center" wrapText="1"/>
    </xf>
    <xf numFmtId="0" fontId="39" fillId="0" borderId="0" xfId="42" applyFont="1" applyAlignment="1">
      <alignment horizontal="left" vertical="top" wrapText="1"/>
    </xf>
    <xf numFmtId="0" fontId="145" fillId="0" borderId="0" xfId="42" applyFont="1" applyAlignment="1">
      <alignment horizontal="center" vertical="center"/>
    </xf>
    <xf numFmtId="0" fontId="146" fillId="0" borderId="0" xfId="42" applyFont="1" applyAlignment="1">
      <alignment horizontal="center" vertical="center"/>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38" fillId="0" borderId="0" xfId="42" applyFont="1" applyAlignment="1">
      <alignment vertical="center"/>
    </xf>
    <xf numFmtId="0" fontId="151" fillId="0" borderId="0" xfId="42" applyFont="1" applyAlignment="1">
      <alignment vertical="top" wrapText="1"/>
    </xf>
    <xf numFmtId="0" fontId="151" fillId="0" borderId="0" xfId="42" applyFont="1" applyAlignment="1">
      <alignment horizontal="justify" vertical="center" wrapText="1"/>
    </xf>
    <xf numFmtId="0" fontId="39" fillId="0" borderId="0" xfId="42" applyFont="1" applyAlignment="1">
      <alignment horizontal="left" vertical="center" wrapText="1"/>
    </xf>
    <xf numFmtId="0" fontId="56" fillId="4" borderId="0" xfId="0" applyFont="1" applyFill="1" applyAlignment="1">
      <alignment horizontal="right"/>
    </xf>
    <xf numFmtId="0" fontId="56" fillId="4" borderId="0" xfId="0" applyFont="1" applyFill="1" applyAlignment="1">
      <alignment horizontal="center"/>
    </xf>
    <xf numFmtId="0" fontId="56" fillId="4" borderId="0" xfId="0" applyFont="1" applyFill="1" applyAlignment="1">
      <alignment horizontal="left"/>
    </xf>
    <xf numFmtId="14" fontId="56" fillId="4" borderId="0" xfId="0" applyNumberFormat="1" applyFont="1" applyFill="1" applyAlignment="1">
      <alignment horizontal="left" wrapText="1"/>
    </xf>
    <xf numFmtId="0" fontId="56" fillId="4" borderId="0" xfId="0" applyFont="1" applyFill="1" applyAlignment="1">
      <alignment horizontal="left" wrapText="1"/>
    </xf>
    <xf numFmtId="0" fontId="58" fillId="4" borderId="56" xfId="0" applyFont="1" applyFill="1" applyBorder="1" applyAlignment="1">
      <alignment horizontal="center" vertical="center"/>
    </xf>
    <xf numFmtId="0" fontId="58" fillId="4" borderId="68" xfId="0" applyFont="1" applyFill="1" applyBorder="1" applyAlignment="1">
      <alignment horizontal="center" vertical="center"/>
    </xf>
    <xf numFmtId="0" fontId="98" fillId="4" borderId="0" xfId="0" applyFont="1" applyFill="1" applyBorder="1" applyAlignment="1">
      <alignment horizontal="right"/>
    </xf>
    <xf numFmtId="14" fontId="98" fillId="4" borderId="0" xfId="0" applyNumberFormat="1" applyFont="1" applyFill="1" applyAlignment="1">
      <alignment horizontal="left"/>
    </xf>
    <xf numFmtId="0" fontId="98" fillId="4" borderId="18" xfId="0" applyFont="1" applyFill="1" applyBorder="1" applyAlignment="1">
      <alignment horizontal="center"/>
    </xf>
    <xf numFmtId="0" fontId="98" fillId="4" borderId="19" xfId="0" applyFont="1" applyFill="1" applyBorder="1" applyAlignment="1">
      <alignment horizontal="center"/>
    </xf>
    <xf numFmtId="0" fontId="98" fillId="4" borderId="20" xfId="0" applyFont="1" applyFill="1" applyBorder="1" applyAlignment="1">
      <alignment horizontal="center"/>
    </xf>
    <xf numFmtId="14" fontId="21" fillId="0" borderId="0" xfId="12" applyNumberFormat="1" applyFont="1" applyAlignment="1">
      <alignment horizontal="left" vertical="center" wrapText="1"/>
    </xf>
    <xf numFmtId="0" fontId="13" fillId="2" borderId="21" xfId="12" applyFont="1" applyFill="1" applyBorder="1" applyAlignment="1">
      <alignment horizontal="center" vertical="center"/>
    </xf>
    <xf numFmtId="0" fontId="13" fillId="2" borderId="0" xfId="12" applyFont="1" applyFill="1" applyBorder="1" applyAlignment="1">
      <alignment horizontal="center" vertical="center"/>
    </xf>
    <xf numFmtId="0" fontId="13" fillId="2" borderId="22" xfId="12" applyFont="1" applyFill="1" applyBorder="1" applyAlignment="1">
      <alignment horizontal="center" vertical="center"/>
    </xf>
    <xf numFmtId="0" fontId="13" fillId="2" borderId="54" xfId="12" applyFont="1" applyFill="1" applyBorder="1" applyAlignment="1">
      <alignment horizontal="center" vertical="center"/>
    </xf>
    <xf numFmtId="0" fontId="13" fillId="2" borderId="28" xfId="12" applyFont="1" applyFill="1" applyBorder="1" applyAlignment="1">
      <alignment horizontal="center" vertical="center"/>
    </xf>
    <xf numFmtId="0" fontId="13" fillId="2" borderId="38" xfId="12" applyFont="1" applyFill="1" applyBorder="1" applyAlignment="1">
      <alignment horizontal="center" vertical="center"/>
    </xf>
    <xf numFmtId="0" fontId="13" fillId="2" borderId="64" xfId="12" applyFont="1" applyFill="1" applyBorder="1" applyAlignment="1">
      <alignment horizontal="center" vertical="center"/>
    </xf>
    <xf numFmtId="0" fontId="13" fillId="2" borderId="38" xfId="12" applyFont="1" applyFill="1" applyBorder="1" applyAlignment="1">
      <alignment horizontal="distributed" vertical="center"/>
    </xf>
    <xf numFmtId="0" fontId="13" fillId="2" borderId="64" xfId="12" applyFont="1" applyFill="1" applyBorder="1" applyAlignment="1">
      <alignment horizontal="distributed" vertic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0" fontId="21" fillId="2" borderId="18" xfId="12" applyNumberFormat="1" applyFont="1" applyFill="1" applyBorder="1" applyAlignment="1">
      <alignment horizontal="center"/>
    </xf>
    <xf numFmtId="0" fontId="21" fillId="2" borderId="19" xfId="12" applyNumberFormat="1" applyFont="1" applyFill="1" applyBorder="1" applyAlignment="1">
      <alignment horizontal="center"/>
    </xf>
    <xf numFmtId="0" fontId="21" fillId="2" borderId="20" xfId="12" applyNumberFormat="1" applyFont="1" applyFill="1" applyBorder="1" applyAlignment="1">
      <alignment horizontal="center"/>
    </xf>
    <xf numFmtId="0" fontId="13" fillId="2" borderId="0" xfId="12" applyFont="1" applyFill="1" applyBorder="1" applyAlignment="1">
      <alignment horizontal="distributed"/>
    </xf>
    <xf numFmtId="0" fontId="111" fillId="4" borderId="36" xfId="42" applyFont="1" applyFill="1" applyBorder="1" applyAlignment="1">
      <alignment horizontal="center" vertical="center"/>
    </xf>
    <xf numFmtId="0" fontId="111" fillId="4" borderId="10" xfId="42" applyFont="1" applyFill="1" applyBorder="1" applyAlignment="1">
      <alignment horizontal="center" vertical="center"/>
    </xf>
    <xf numFmtId="0" fontId="111" fillId="4" borderId="58" xfId="42" applyFont="1" applyFill="1" applyBorder="1" applyAlignment="1">
      <alignment horizontal="center" vertical="center"/>
    </xf>
    <xf numFmtId="0" fontId="111" fillId="4" borderId="36" xfId="42" quotePrefix="1" applyFont="1" applyFill="1" applyBorder="1" applyAlignment="1">
      <alignment horizontal="center" vertical="center"/>
    </xf>
    <xf numFmtId="0" fontId="111" fillId="4" borderId="10" xfId="42" quotePrefix="1" applyFont="1" applyFill="1" applyBorder="1" applyAlignment="1">
      <alignment horizontal="center" vertical="center"/>
    </xf>
    <xf numFmtId="0" fontId="111" fillId="4" borderId="17" xfId="42" quotePrefix="1" applyFont="1" applyFill="1" applyBorder="1" applyAlignment="1">
      <alignment horizontal="center" vertical="center"/>
    </xf>
    <xf numFmtId="0" fontId="111" fillId="4" borderId="9" xfId="42" quotePrefix="1" applyFont="1" applyFill="1" applyBorder="1" applyAlignment="1">
      <alignment horizontal="center" vertical="center"/>
    </xf>
    <xf numFmtId="49" fontId="111" fillId="4" borderId="5" xfId="42" applyNumberFormat="1" applyFont="1" applyFill="1" applyBorder="1" applyAlignment="1">
      <alignment horizontal="center" vertical="top"/>
    </xf>
    <xf numFmtId="0" fontId="111" fillId="0" borderId="36" xfId="42" applyFont="1" applyFill="1" applyBorder="1" applyAlignment="1">
      <alignment horizontal="center" vertical="center"/>
    </xf>
    <xf numFmtId="0" fontId="111" fillId="0" borderId="10" xfId="42" applyFont="1" applyFill="1" applyBorder="1" applyAlignment="1">
      <alignment horizontal="center" vertical="center"/>
    </xf>
    <xf numFmtId="0" fontId="111" fillId="0" borderId="58" xfId="42" applyFont="1" applyFill="1" applyBorder="1" applyAlignment="1">
      <alignment horizontal="center" vertical="center"/>
    </xf>
    <xf numFmtId="0" fontId="111" fillId="0" borderId="36" xfId="42" quotePrefix="1" applyFont="1" applyFill="1" applyBorder="1" applyAlignment="1">
      <alignment horizontal="center" vertical="center"/>
    </xf>
    <xf numFmtId="0" fontId="111" fillId="0" borderId="10" xfId="42" quotePrefix="1" applyFont="1" applyFill="1" applyBorder="1" applyAlignment="1">
      <alignment horizontal="center" vertical="center"/>
    </xf>
    <xf numFmtId="0" fontId="111" fillId="0" borderId="17" xfId="42" quotePrefix="1" applyFont="1" applyFill="1" applyBorder="1" applyAlignment="1">
      <alignment horizontal="center" vertical="center"/>
    </xf>
    <xf numFmtId="0" fontId="111" fillId="0" borderId="9" xfId="42" quotePrefix="1" applyFont="1" applyFill="1" applyBorder="1" applyAlignment="1">
      <alignment horizontal="center" vertical="center"/>
    </xf>
    <xf numFmtId="4" fontId="111" fillId="4" borderId="63" xfId="12" applyNumberFormat="1" applyFont="1" applyFill="1" applyBorder="1" applyAlignment="1">
      <alignment horizontal="center" vertical="center"/>
    </xf>
    <xf numFmtId="4" fontId="111" fillId="4" borderId="41" xfId="12" applyNumberFormat="1" applyFont="1" applyFill="1" applyBorder="1" applyAlignment="1">
      <alignment horizontal="center" vertical="center"/>
    </xf>
    <xf numFmtId="0" fontId="112" fillId="9" borderId="0" xfId="12" applyFont="1" applyFill="1" applyAlignment="1">
      <alignment horizontal="center" vertical="center"/>
    </xf>
    <xf numFmtId="0" fontId="113" fillId="7" borderId="0" xfId="42" applyFont="1" applyFill="1" applyBorder="1" applyAlignment="1">
      <alignment horizontal="center" vertical="center"/>
    </xf>
    <xf numFmtId="0" fontId="124" fillId="0" borderId="0" xfId="42" applyFont="1" applyBorder="1" applyAlignment="1">
      <alignment horizontal="center" vertical="center"/>
    </xf>
    <xf numFmtId="0" fontId="111" fillId="5" borderId="9" xfId="12" applyFont="1" applyFill="1" applyBorder="1" applyAlignment="1">
      <alignment horizontal="left" vertical="center"/>
    </xf>
    <xf numFmtId="0" fontId="111" fillId="5" borderId="10" xfId="12" applyFont="1" applyFill="1" applyBorder="1" applyAlignment="1">
      <alignment horizontal="left" vertical="center"/>
    </xf>
    <xf numFmtId="0" fontId="111" fillId="5" borderId="17" xfId="12" applyFont="1" applyFill="1" applyBorder="1" applyAlignment="1">
      <alignment horizontal="left" vertical="center"/>
    </xf>
    <xf numFmtId="0" fontId="112" fillId="5" borderId="18" xfId="12" applyFont="1" applyFill="1" applyBorder="1" applyAlignment="1">
      <alignment horizontal="left" vertical="center" wrapText="1"/>
    </xf>
    <xf numFmtId="0" fontId="112" fillId="5" borderId="19" xfId="12" applyFont="1" applyFill="1" applyBorder="1" applyAlignment="1">
      <alignment horizontal="left" vertical="center" wrapText="1"/>
    </xf>
    <xf numFmtId="0" fontId="112" fillId="5" borderId="20" xfId="12" applyFont="1" applyFill="1" applyBorder="1" applyAlignment="1">
      <alignment horizontal="left" vertical="center" wrapText="1"/>
    </xf>
    <xf numFmtId="0" fontId="111" fillId="0" borderId="9" xfId="12" applyFont="1" applyFill="1" applyBorder="1" applyAlignment="1">
      <alignment horizontal="left" vertical="center"/>
    </xf>
    <xf numFmtId="0" fontId="111" fillId="0" borderId="10" xfId="12" applyFont="1" applyFill="1" applyBorder="1" applyAlignment="1">
      <alignment horizontal="left" vertical="center"/>
    </xf>
    <xf numFmtId="0" fontId="111" fillId="0" borderId="17" xfId="12" applyFont="1" applyFill="1" applyBorder="1" applyAlignment="1">
      <alignment horizontal="left" vertical="center"/>
    </xf>
    <xf numFmtId="0" fontId="111" fillId="0" borderId="9" xfId="12" applyFont="1" applyBorder="1" applyAlignment="1">
      <alignment horizontal="left" vertical="center"/>
    </xf>
    <xf numFmtId="0" fontId="111" fillId="0" borderId="10" xfId="12" applyFont="1" applyBorder="1" applyAlignment="1">
      <alignment horizontal="left" vertical="center"/>
    </xf>
    <xf numFmtId="0" fontId="111" fillId="0" borderId="17" xfId="12" applyFont="1" applyBorder="1" applyAlignment="1">
      <alignment horizontal="left" vertical="center"/>
    </xf>
    <xf numFmtId="14" fontId="112" fillId="4" borderId="9" xfId="12" applyNumberFormat="1" applyFont="1" applyFill="1" applyBorder="1" applyAlignment="1">
      <alignment horizontal="left" vertical="center"/>
    </xf>
    <xf numFmtId="14" fontId="112" fillId="4" borderId="10" xfId="12" applyNumberFormat="1" applyFont="1" applyFill="1" applyBorder="1" applyAlignment="1">
      <alignment horizontal="left" vertical="center"/>
    </xf>
    <xf numFmtId="14" fontId="112" fillId="4" borderId="17" xfId="12" applyNumberFormat="1" applyFont="1" applyFill="1" applyBorder="1" applyAlignment="1">
      <alignment horizontal="left" vertical="center"/>
    </xf>
    <xf numFmtId="0" fontId="111" fillId="0" borderId="0" xfId="12" applyFont="1" applyAlignment="1">
      <alignment horizontal="center" vertical="center"/>
    </xf>
    <xf numFmtId="0" fontId="112" fillId="0" borderId="0" xfId="12" applyFont="1" applyAlignment="1">
      <alignment horizontal="left" vertical="center"/>
    </xf>
    <xf numFmtId="0" fontId="112" fillId="0" borderId="57" xfId="12" applyFont="1" applyBorder="1" applyAlignment="1">
      <alignment horizontal="left" vertical="center"/>
    </xf>
    <xf numFmtId="0" fontId="112" fillId="0" borderId="40" xfId="12" applyFont="1" applyBorder="1" applyAlignment="1">
      <alignment horizontal="left" vertical="center"/>
    </xf>
    <xf numFmtId="0" fontId="112" fillId="0" borderId="61" xfId="12" applyFont="1" applyBorder="1" applyAlignment="1">
      <alignment horizontal="left" vertical="center"/>
    </xf>
    <xf numFmtId="0" fontId="112" fillId="0" borderId="0" xfId="12" applyFont="1" applyBorder="1" applyAlignment="1">
      <alignment horizontal="left" vertical="center" wrapText="1"/>
    </xf>
    <xf numFmtId="0" fontId="111" fillId="0" borderId="0" xfId="12" applyFont="1" applyBorder="1" applyAlignment="1">
      <alignment vertical="center"/>
    </xf>
    <xf numFmtId="4" fontId="112" fillId="0" borderId="5" xfId="2" applyNumberFormat="1" applyFont="1" applyBorder="1" applyAlignment="1">
      <alignment horizontal="center" vertical="center"/>
    </xf>
    <xf numFmtId="164" fontId="112" fillId="0" borderId="5" xfId="2" applyFont="1" applyBorder="1" applyAlignment="1">
      <alignment horizontal="center" vertical="top"/>
    </xf>
    <xf numFmtId="164" fontId="112" fillId="0" borderId="5" xfId="2" applyFont="1" applyBorder="1" applyAlignment="1">
      <alignment horizontal="center" vertical="center"/>
    </xf>
    <xf numFmtId="0" fontId="111" fillId="0" borderId="5" xfId="12" applyFont="1" applyBorder="1" applyAlignment="1">
      <alignment horizontal="center" vertical="center"/>
    </xf>
    <xf numFmtId="0" fontId="111" fillId="0" borderId="9" xfId="12" applyFont="1" applyFill="1" applyBorder="1" applyAlignment="1">
      <alignment vertical="center"/>
    </xf>
    <xf numFmtId="0" fontId="111" fillId="0" borderId="10" xfId="12" applyFont="1" applyFill="1" applyBorder="1" applyAlignment="1">
      <alignment vertical="center"/>
    </xf>
    <xf numFmtId="0" fontId="111" fillId="0" borderId="17" xfId="12" applyFont="1" applyFill="1" applyBorder="1" applyAlignment="1">
      <alignment vertical="center"/>
    </xf>
    <xf numFmtId="0" fontId="111" fillId="0" borderId="9" xfId="12" applyFont="1" applyFill="1" applyBorder="1" applyAlignment="1">
      <alignment horizontal="center" vertical="center"/>
    </xf>
    <xf numFmtId="0" fontId="111" fillId="0" borderId="10" xfId="12" applyFont="1" applyFill="1" applyBorder="1" applyAlignment="1">
      <alignment horizontal="center" vertical="center"/>
    </xf>
    <xf numFmtId="0" fontId="111" fillId="0" borderId="17" xfId="12" applyFont="1" applyFill="1" applyBorder="1" applyAlignment="1">
      <alignment horizontal="center" vertical="center"/>
    </xf>
    <xf numFmtId="0" fontId="111" fillId="0" borderId="0" xfId="12" applyFont="1" applyBorder="1" applyAlignment="1">
      <alignment horizontal="left" vertical="center" wrapText="1"/>
    </xf>
    <xf numFmtId="4" fontId="111" fillId="0" borderId="0" xfId="12" applyNumberFormat="1" applyFont="1" applyFill="1" applyAlignment="1">
      <alignment horizontal="left"/>
    </xf>
    <xf numFmtId="0" fontId="111" fillId="0" borderId="0" xfId="12" applyFont="1" applyFill="1" applyBorder="1" applyAlignment="1">
      <alignment horizontal="left" vertical="center"/>
    </xf>
    <xf numFmtId="0" fontId="112" fillId="10" borderId="5" xfId="12" applyFont="1" applyFill="1" applyBorder="1" applyAlignment="1">
      <alignment horizontal="center" vertical="center"/>
    </xf>
    <xf numFmtId="164" fontId="111" fillId="0" borderId="5" xfId="2" applyFont="1" applyBorder="1" applyAlignment="1">
      <alignment horizontal="center" vertical="center"/>
    </xf>
    <xf numFmtId="164" fontId="112" fillId="0" borderId="5" xfId="12" applyNumberFormat="1" applyFont="1" applyBorder="1" applyAlignment="1">
      <alignment horizontal="center" vertical="center"/>
    </xf>
    <xf numFmtId="4" fontId="111" fillId="0" borderId="5" xfId="12" applyNumberFormat="1" applyFont="1" applyBorder="1" applyAlignment="1">
      <alignment horizontal="center" vertical="center"/>
    </xf>
    <xf numFmtId="4" fontId="111" fillId="0" borderId="5" xfId="12" applyNumberFormat="1" applyFont="1" applyBorder="1" applyAlignment="1">
      <alignment horizontal="right" vertical="center"/>
    </xf>
    <xf numFmtId="166" fontId="112" fillId="5" borderId="5" xfId="12" applyNumberFormat="1" applyFont="1" applyFill="1" applyBorder="1" applyAlignment="1">
      <alignment horizontal="center" vertical="center"/>
    </xf>
    <xf numFmtId="175" fontId="112" fillId="5" borderId="5" xfId="12" applyNumberFormat="1" applyFont="1" applyFill="1" applyBorder="1" applyAlignment="1">
      <alignment horizontal="center" vertical="center"/>
    </xf>
    <xf numFmtId="164" fontId="111" fillId="0" borderId="0" xfId="12" applyNumberFormat="1" applyFont="1" applyAlignment="1">
      <alignment horizontal="center" vertical="center"/>
    </xf>
    <xf numFmtId="0" fontId="111" fillId="0" borderId="18" xfId="12" applyFont="1" applyFill="1" applyBorder="1" applyAlignment="1">
      <alignment horizontal="center" vertical="justify" wrapText="1"/>
    </xf>
    <xf numFmtId="0" fontId="111" fillId="0" borderId="19" xfId="12" applyFont="1" applyFill="1" applyBorder="1" applyAlignment="1">
      <alignment horizontal="center" vertical="justify" wrapText="1"/>
    </xf>
    <xf numFmtId="0" fontId="111" fillId="0" borderId="86" xfId="12" applyFont="1" applyFill="1" applyBorder="1" applyAlignment="1">
      <alignment horizontal="center" vertical="justify" wrapText="1"/>
    </xf>
    <xf numFmtId="0" fontId="111" fillId="0" borderId="84" xfId="12" applyFont="1" applyFill="1" applyBorder="1" applyAlignment="1">
      <alignment horizontal="center" vertical="justify" wrapText="1"/>
    </xf>
    <xf numFmtId="0" fontId="111" fillId="0" borderId="20" xfId="12" applyFont="1" applyFill="1" applyBorder="1" applyAlignment="1">
      <alignment horizontal="center" vertical="justify" wrapText="1"/>
    </xf>
    <xf numFmtId="164" fontId="111" fillId="0" borderId="5" xfId="12" applyNumberFormat="1" applyFont="1" applyBorder="1" applyAlignment="1">
      <alignment horizontal="center" vertical="center"/>
    </xf>
    <xf numFmtId="166" fontId="112" fillId="0" borderId="5" xfId="12" applyNumberFormat="1" applyFont="1" applyBorder="1" applyAlignment="1">
      <alignment horizontal="center" vertical="center"/>
    </xf>
    <xf numFmtId="175" fontId="112" fillId="0" borderId="5" xfId="12" applyNumberFormat="1" applyFont="1" applyBorder="1" applyAlignment="1">
      <alignment horizontal="center" vertical="center"/>
    </xf>
    <xf numFmtId="0" fontId="111" fillId="0" borderId="9" xfId="42" applyFont="1" applyFill="1" applyBorder="1" applyAlignment="1">
      <alignment horizontal="center" vertical="center" wrapText="1"/>
    </xf>
    <xf numFmtId="0" fontId="111" fillId="0" borderId="10" xfId="42" applyFont="1" applyFill="1" applyBorder="1" applyAlignment="1">
      <alignment horizontal="center" vertical="center" wrapText="1"/>
    </xf>
    <xf numFmtId="0" fontId="111" fillId="0" borderId="17" xfId="42" applyFont="1" applyFill="1" applyBorder="1" applyAlignment="1">
      <alignment horizontal="center" vertical="center" wrapText="1"/>
    </xf>
    <xf numFmtId="0" fontId="111" fillId="0" borderId="9" xfId="42" applyFont="1" applyFill="1" applyBorder="1" applyAlignment="1">
      <alignment horizontal="center" vertical="center"/>
    </xf>
    <xf numFmtId="0" fontId="111" fillId="0" borderId="17" xfId="42" applyFont="1" applyFill="1" applyBorder="1" applyAlignment="1">
      <alignment horizontal="center" vertical="center"/>
    </xf>
    <xf numFmtId="0" fontId="111" fillId="0" borderId="0" xfId="42" applyFont="1" applyFill="1" applyAlignment="1">
      <alignment horizontal="right"/>
    </xf>
    <xf numFmtId="0" fontId="111" fillId="0" borderId="85" xfId="42" applyFont="1" applyFill="1" applyBorder="1" applyAlignment="1">
      <alignment horizontal="right"/>
    </xf>
    <xf numFmtId="0" fontId="111" fillId="0" borderId="9" xfId="42" applyFont="1" applyFill="1" applyBorder="1" applyAlignment="1">
      <alignment horizontal="center"/>
    </xf>
    <xf numFmtId="0" fontId="111" fillId="0" borderId="10" xfId="42" applyFont="1" applyFill="1" applyBorder="1" applyAlignment="1">
      <alignment horizontal="center"/>
    </xf>
    <xf numFmtId="0" fontId="111" fillId="0" borderId="17" xfId="42" applyFont="1" applyFill="1" applyBorder="1" applyAlignment="1">
      <alignment horizontal="center"/>
    </xf>
    <xf numFmtId="0" fontId="111" fillId="0" borderId="43" xfId="42" applyFont="1" applyFill="1" applyBorder="1" applyAlignment="1">
      <alignment horizontal="right"/>
    </xf>
    <xf numFmtId="0" fontId="111" fillId="0" borderId="0" xfId="42" applyFont="1" applyFill="1" applyBorder="1" applyAlignment="1">
      <alignment horizontal="right"/>
    </xf>
    <xf numFmtId="14" fontId="111" fillId="0" borderId="9" xfId="42" applyNumberFormat="1" applyFont="1" applyFill="1" applyBorder="1" applyAlignment="1">
      <alignment horizontal="center"/>
    </xf>
    <xf numFmtId="14" fontId="111" fillId="0" borderId="10" xfId="42" applyNumberFormat="1" applyFont="1" applyFill="1" applyBorder="1" applyAlignment="1">
      <alignment horizontal="center"/>
    </xf>
    <xf numFmtId="14" fontId="111" fillId="0" borderId="17" xfId="42" applyNumberFormat="1" applyFont="1" applyFill="1" applyBorder="1" applyAlignment="1">
      <alignment horizontal="center"/>
    </xf>
    <xf numFmtId="14" fontId="111" fillId="0" borderId="18" xfId="12" quotePrefix="1" applyNumberFormat="1" applyFont="1" applyFill="1" applyBorder="1" applyAlignment="1">
      <alignment horizontal="center" vertical="center"/>
    </xf>
    <xf numFmtId="14" fontId="111" fillId="0" borderId="19" xfId="12" quotePrefix="1" applyNumberFormat="1" applyFont="1" applyFill="1" applyBorder="1" applyAlignment="1">
      <alignment horizontal="center" vertical="center"/>
    </xf>
    <xf numFmtId="14" fontId="111" fillId="0" borderId="20" xfId="12" quotePrefix="1" applyNumberFormat="1" applyFont="1" applyFill="1" applyBorder="1" applyAlignment="1">
      <alignment horizontal="center" vertical="center"/>
    </xf>
    <xf numFmtId="14" fontId="111" fillId="0" borderId="86" xfId="12" quotePrefix="1" applyNumberFormat="1" applyFont="1" applyFill="1" applyBorder="1" applyAlignment="1">
      <alignment horizontal="center" vertical="center"/>
    </xf>
    <xf numFmtId="14" fontId="111" fillId="0" borderId="84" xfId="12" quotePrefix="1" applyNumberFormat="1" applyFont="1" applyFill="1" applyBorder="1" applyAlignment="1">
      <alignment horizontal="center" vertical="center"/>
    </xf>
    <xf numFmtId="14" fontId="111" fillId="0" borderId="53" xfId="12" quotePrefix="1" applyNumberFormat="1" applyFont="1" applyFill="1" applyBorder="1" applyAlignment="1">
      <alignment horizontal="center" vertical="center"/>
    </xf>
    <xf numFmtId="0" fontId="112" fillId="0" borderId="25" xfId="42" applyFont="1" applyFill="1" applyBorder="1" applyAlignment="1">
      <alignment horizontal="center" vertical="center"/>
    </xf>
    <xf numFmtId="0" fontId="112" fillId="0" borderId="11" xfId="42" applyFont="1" applyFill="1" applyBorder="1" applyAlignment="1">
      <alignment horizontal="center" vertical="center"/>
    </xf>
    <xf numFmtId="0" fontId="112" fillId="0" borderId="13" xfId="42" applyFont="1" applyFill="1" applyBorder="1" applyAlignment="1">
      <alignment horizontal="center" vertical="center"/>
    </xf>
    <xf numFmtId="0" fontId="112" fillId="0" borderId="26" xfId="42" applyFont="1" applyFill="1" applyBorder="1" applyAlignment="1">
      <alignment horizontal="center" vertical="center" wrapText="1"/>
    </xf>
    <xf numFmtId="0" fontId="112" fillId="0" borderId="28" xfId="42" applyFont="1" applyFill="1" applyBorder="1" applyAlignment="1">
      <alignment horizontal="center" vertical="center" wrapText="1"/>
    </xf>
    <xf numFmtId="0" fontId="112" fillId="0" borderId="29" xfId="42" applyFont="1" applyFill="1" applyBorder="1" applyAlignment="1">
      <alignment horizontal="center" vertical="center" wrapText="1"/>
    </xf>
    <xf numFmtId="0" fontId="112" fillId="0" borderId="43" xfId="42" applyFont="1" applyFill="1" applyBorder="1" applyAlignment="1">
      <alignment horizontal="center" vertical="center" wrapText="1"/>
    </xf>
    <xf numFmtId="0" fontId="112" fillId="0" borderId="0" xfId="42" applyFont="1" applyFill="1" applyBorder="1" applyAlignment="1">
      <alignment horizontal="center" vertical="center" wrapText="1"/>
    </xf>
    <xf numFmtId="0" fontId="112" fillId="0" borderId="85" xfId="42" applyFont="1" applyFill="1" applyBorder="1" applyAlignment="1">
      <alignment horizontal="center" vertical="center" wrapText="1"/>
    </xf>
    <xf numFmtId="0" fontId="112" fillId="0" borderId="46" xfId="42" applyFont="1" applyFill="1" applyBorder="1" applyAlignment="1">
      <alignment horizontal="center" vertical="center" wrapText="1"/>
    </xf>
    <xf numFmtId="0" fontId="112" fillId="0" borderId="54" xfId="42" applyFont="1" applyFill="1" applyBorder="1" applyAlignment="1">
      <alignment horizontal="center" vertical="center" wrapText="1"/>
    </xf>
    <xf numFmtId="0" fontId="112" fillId="0" borderId="55" xfId="42" applyFont="1" applyFill="1" applyBorder="1" applyAlignment="1">
      <alignment horizontal="center" vertical="center" wrapText="1"/>
    </xf>
    <xf numFmtId="14" fontId="111" fillId="0" borderId="9" xfId="42" applyNumberFormat="1" applyFont="1" applyFill="1" applyBorder="1" applyAlignment="1">
      <alignment horizontal="center" vertical="center"/>
    </xf>
    <xf numFmtId="14" fontId="111" fillId="0" borderId="10" xfId="42" applyNumberFormat="1" applyFont="1" applyFill="1" applyBorder="1" applyAlignment="1">
      <alignment horizontal="center" vertical="center"/>
    </xf>
    <xf numFmtId="14" fontId="111" fillId="0" borderId="17" xfId="42" applyNumberFormat="1" applyFont="1" applyFill="1" applyBorder="1" applyAlignment="1">
      <alignment horizontal="center" vertical="center"/>
    </xf>
    <xf numFmtId="0" fontId="112" fillId="0" borderId="5" xfId="42" applyFont="1" applyFill="1" applyBorder="1" applyAlignment="1">
      <alignment horizontal="center" vertical="center" wrapText="1"/>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0" fontId="112" fillId="5" borderId="63" xfId="12" applyFont="1" applyFill="1" applyBorder="1" applyAlignment="1">
      <alignment horizontal="center" vertical="center"/>
    </xf>
    <xf numFmtId="0" fontId="112" fillId="5" borderId="41" xfId="12" applyFont="1" applyFill="1" applyBorder="1" applyAlignment="1">
      <alignment horizontal="center" vertical="center"/>
    </xf>
    <xf numFmtId="0" fontId="112" fillId="5" borderId="62" xfId="12" applyFont="1" applyFill="1" applyBorder="1" applyAlignment="1">
      <alignment horizontal="center" vertical="center"/>
    </xf>
    <xf numFmtId="0" fontId="112" fillId="5" borderId="30" xfId="12" applyFont="1" applyFill="1" applyBorder="1" applyAlignment="1">
      <alignment horizontal="center" vertical="center"/>
    </xf>
    <xf numFmtId="0" fontId="111" fillId="0" borderId="60" xfId="12" applyFont="1" applyFill="1" applyBorder="1" applyAlignment="1">
      <alignment horizontal="center" vertical="center"/>
    </xf>
    <xf numFmtId="0" fontId="111" fillId="0" borderId="40" xfId="12" applyFont="1" applyFill="1" applyBorder="1" applyAlignment="1">
      <alignment horizontal="center" vertical="center"/>
    </xf>
    <xf numFmtId="0" fontId="111" fillId="0" borderId="88" xfId="12" applyFont="1" applyFill="1" applyBorder="1" applyAlignment="1">
      <alignment horizontal="center" vertical="center"/>
    </xf>
    <xf numFmtId="4" fontId="111" fillId="4" borderId="60" xfId="12" applyNumberFormat="1" applyFont="1" applyFill="1" applyBorder="1" applyAlignment="1">
      <alignment horizontal="center" vertical="center"/>
    </xf>
    <xf numFmtId="4" fontId="111" fillId="4" borderId="40" xfId="12" applyNumberFormat="1" applyFont="1" applyFill="1" applyBorder="1" applyAlignment="1">
      <alignment horizontal="center" vertical="center"/>
    </xf>
    <xf numFmtId="4" fontId="111" fillId="4" borderId="61" xfId="12" applyNumberFormat="1" applyFont="1" applyFill="1" applyBorder="1" applyAlignment="1">
      <alignment horizontal="center" vertical="center"/>
    </xf>
    <xf numFmtId="4" fontId="111" fillId="26" borderId="57" xfId="12" applyNumberFormat="1" applyFont="1" applyFill="1" applyBorder="1" applyAlignment="1">
      <alignment horizontal="center" vertical="center"/>
    </xf>
    <xf numFmtId="4" fontId="111" fillId="26" borderId="40" xfId="12" applyNumberFormat="1" applyFont="1" applyFill="1" applyBorder="1" applyAlignment="1">
      <alignment horizontal="center" vertical="center"/>
    </xf>
    <xf numFmtId="4" fontId="111" fillId="26" borderId="61" xfId="12" applyNumberFormat="1" applyFont="1" applyFill="1" applyBorder="1" applyAlignment="1">
      <alignment horizontal="center" vertical="center"/>
    </xf>
    <xf numFmtId="10" fontId="111" fillId="26" borderId="57" xfId="29" applyNumberFormat="1" applyFont="1" applyFill="1" applyBorder="1" applyAlignment="1">
      <alignment horizontal="center" vertical="center"/>
    </xf>
    <xf numFmtId="10" fontId="111" fillId="26" borderId="61" xfId="29" applyNumberFormat="1" applyFont="1" applyFill="1" applyBorder="1" applyAlignment="1">
      <alignment horizontal="center" vertical="center"/>
    </xf>
    <xf numFmtId="0" fontId="112" fillId="5" borderId="49" xfId="12" applyFont="1" applyFill="1" applyBorder="1" applyAlignment="1">
      <alignment horizontal="center" vertical="justify"/>
    </xf>
    <xf numFmtId="0" fontId="112" fillId="5" borderId="53" xfId="12" applyFont="1" applyFill="1" applyBorder="1" applyAlignment="1">
      <alignment horizontal="center" vertical="justify"/>
    </xf>
    <xf numFmtId="0" fontId="112" fillId="5" borderId="79" xfId="12" applyFont="1" applyFill="1" applyBorder="1" applyAlignment="1">
      <alignment horizontal="center" vertical="justify"/>
    </xf>
    <xf numFmtId="0" fontId="112" fillId="5" borderId="50" xfId="12" applyFont="1" applyFill="1" applyBorder="1" applyAlignment="1">
      <alignment horizontal="center" vertical="justify"/>
    </xf>
    <xf numFmtId="0" fontId="112" fillId="5" borderId="51" xfId="12" applyFont="1" applyFill="1" applyBorder="1" applyAlignment="1">
      <alignment horizontal="center" vertical="justify"/>
    </xf>
    <xf numFmtId="0" fontId="112" fillId="5" borderId="87" xfId="12" applyFont="1" applyFill="1" applyBorder="1" applyAlignment="1">
      <alignment horizontal="center" vertical="justify"/>
    </xf>
    <xf numFmtId="0" fontId="112" fillId="5" borderId="82" xfId="12" applyFont="1" applyFill="1" applyBorder="1" applyAlignment="1">
      <alignment horizontal="center" vertical="center" wrapText="1"/>
    </xf>
    <xf numFmtId="0" fontId="112" fillId="5" borderId="53" xfId="12" applyFont="1" applyFill="1" applyBorder="1" applyAlignment="1">
      <alignment horizontal="center" vertical="center" wrapText="1"/>
    </xf>
    <xf numFmtId="0" fontId="112" fillId="5" borderId="79" xfId="12" applyFont="1" applyFill="1" applyBorder="1" applyAlignment="1">
      <alignment horizontal="center" vertical="center" wrapText="1"/>
    </xf>
    <xf numFmtId="0" fontId="112" fillId="5" borderId="89" xfId="12" applyFont="1" applyFill="1" applyBorder="1" applyAlignment="1">
      <alignment horizontal="center" vertical="center" wrapText="1"/>
    </xf>
    <xf numFmtId="0" fontId="112" fillId="5" borderId="51" xfId="12" applyFont="1" applyFill="1" applyBorder="1" applyAlignment="1">
      <alignment horizontal="center" vertical="center" wrapText="1"/>
    </xf>
    <xf numFmtId="0" fontId="112" fillId="5" borderId="87" xfId="12" applyFont="1" applyFill="1" applyBorder="1" applyAlignment="1">
      <alignment horizontal="center" vertical="center" wrapText="1"/>
    </xf>
    <xf numFmtId="0" fontId="112" fillId="5" borderId="57" xfId="12" applyFont="1" applyFill="1" applyBorder="1" applyAlignment="1">
      <alignment horizontal="center" vertical="center"/>
    </xf>
    <xf numFmtId="0" fontId="112" fillId="5" borderId="40" xfId="12" applyFont="1" applyFill="1" applyBorder="1" applyAlignment="1">
      <alignment horizontal="center" vertical="center"/>
    </xf>
    <xf numFmtId="0" fontId="112" fillId="5" borderId="61" xfId="12" applyFont="1" applyFill="1" applyBorder="1" applyAlignment="1">
      <alignment horizontal="center" vertical="center"/>
    </xf>
    <xf numFmtId="0" fontId="112" fillId="5" borderId="88" xfId="12" applyFont="1" applyFill="1" applyBorder="1" applyAlignment="1">
      <alignment horizontal="center" vertical="center"/>
    </xf>
    <xf numFmtId="164" fontId="111" fillId="4" borderId="57" xfId="12" applyNumberFormat="1" applyFont="1" applyFill="1" applyBorder="1" applyAlignment="1">
      <alignment horizontal="center" vertical="center"/>
    </xf>
    <xf numFmtId="164" fontId="111" fillId="4" borderId="40" xfId="12" applyNumberFormat="1" applyFont="1" applyFill="1" applyBorder="1" applyAlignment="1">
      <alignment horizontal="center" vertical="center"/>
    </xf>
    <xf numFmtId="164" fontId="111" fillId="4" borderId="61" xfId="12" applyNumberFormat="1" applyFont="1" applyFill="1" applyBorder="1" applyAlignment="1">
      <alignment horizontal="center" vertical="center"/>
    </xf>
    <xf numFmtId="10" fontId="111" fillId="4" borderId="57" xfId="29" applyNumberFormat="1" applyFont="1" applyFill="1" applyBorder="1" applyAlignment="1">
      <alignment horizontal="center" vertical="center"/>
    </xf>
    <xf numFmtId="10" fontId="111" fillId="4" borderId="88" xfId="29" applyNumberFormat="1" applyFont="1" applyFill="1" applyBorder="1" applyAlignment="1">
      <alignment horizontal="center" vertical="center"/>
    </xf>
    <xf numFmtId="10" fontId="112" fillId="14" borderId="57" xfId="29" applyNumberFormat="1" applyFont="1" applyFill="1" applyBorder="1" applyAlignment="1">
      <alignment horizontal="center" vertical="center"/>
    </xf>
    <xf numFmtId="10" fontId="112" fillId="14" borderId="88" xfId="29" applyNumberFormat="1" applyFont="1" applyFill="1" applyBorder="1" applyAlignment="1">
      <alignment horizontal="center" vertical="center"/>
    </xf>
    <xf numFmtId="0" fontId="112" fillId="24" borderId="36" xfId="12" applyFont="1" applyFill="1" applyBorder="1" applyAlignment="1">
      <alignment horizontal="left" vertical="center" wrapText="1"/>
    </xf>
    <xf numFmtId="0" fontId="112" fillId="24" borderId="10" xfId="12" applyFont="1" applyFill="1" applyBorder="1" applyAlignment="1">
      <alignment horizontal="left" vertical="center" wrapText="1"/>
    </xf>
    <xf numFmtId="0" fontId="112" fillId="24" borderId="58" xfId="12" applyFont="1" applyFill="1" applyBorder="1" applyAlignment="1">
      <alignment horizontal="left" vertical="center" wrapText="1"/>
    </xf>
    <xf numFmtId="4" fontId="112" fillId="24" borderId="9" xfId="12" applyNumberFormat="1" applyFont="1" applyFill="1" applyBorder="1" applyAlignment="1">
      <alignment horizontal="center" vertical="center"/>
    </xf>
    <xf numFmtId="4" fontId="112" fillId="24" borderId="10" xfId="12" applyNumberFormat="1" applyFont="1" applyFill="1" applyBorder="1" applyAlignment="1">
      <alignment horizontal="center" vertical="center"/>
    </xf>
    <xf numFmtId="4" fontId="112" fillId="24" borderId="17" xfId="12" applyNumberFormat="1" applyFont="1" applyFill="1" applyBorder="1" applyAlignment="1">
      <alignment horizontal="center" vertical="center"/>
    </xf>
    <xf numFmtId="10" fontId="112" fillId="24" borderId="9" xfId="29" applyNumberFormat="1" applyFont="1" applyFill="1" applyBorder="1" applyAlignment="1">
      <alignment horizontal="center" vertical="center"/>
    </xf>
    <xf numFmtId="10" fontId="112" fillId="24" borderId="17" xfId="29" applyNumberFormat="1" applyFont="1" applyFill="1" applyBorder="1" applyAlignment="1">
      <alignment horizontal="center" vertical="center"/>
    </xf>
    <xf numFmtId="10" fontId="112" fillId="24" borderId="58" xfId="29" applyNumberFormat="1" applyFont="1" applyFill="1" applyBorder="1" applyAlignment="1">
      <alignment horizontal="center" vertical="center"/>
    </xf>
    <xf numFmtId="0" fontId="112" fillId="14" borderId="60" xfId="12" applyFont="1" applyFill="1" applyBorder="1" applyAlignment="1">
      <alignment horizontal="left" vertical="center"/>
    </xf>
    <xf numFmtId="0" fontId="112" fillId="14" borderId="40" xfId="12" applyFont="1" applyFill="1" applyBorder="1" applyAlignment="1">
      <alignment horizontal="left" vertical="center"/>
    </xf>
    <xf numFmtId="0" fontId="112" fillId="14" borderId="88" xfId="12" applyFont="1" applyFill="1" applyBorder="1" applyAlignment="1">
      <alignment horizontal="left" vertical="center"/>
    </xf>
    <xf numFmtId="4" fontId="112" fillId="14" borderId="60" xfId="12" applyNumberFormat="1" applyFont="1" applyFill="1" applyBorder="1" applyAlignment="1">
      <alignment horizontal="center" vertical="center"/>
    </xf>
    <xf numFmtId="4" fontId="112" fillId="14" borderId="40" xfId="12" applyNumberFormat="1" applyFont="1" applyFill="1" applyBorder="1" applyAlignment="1">
      <alignment horizontal="center" vertical="center"/>
    </xf>
    <xf numFmtId="4" fontId="112" fillId="14" borderId="61" xfId="12" applyNumberFormat="1" applyFont="1" applyFill="1" applyBorder="1" applyAlignment="1">
      <alignment horizontal="center" vertical="center"/>
    </xf>
    <xf numFmtId="4" fontId="112" fillId="14" borderId="57" xfId="12" applyNumberFormat="1" applyFont="1" applyFill="1" applyBorder="1" applyAlignment="1">
      <alignment horizontal="center" vertical="center"/>
    </xf>
    <xf numFmtId="10" fontId="112" fillId="14" borderId="61" xfId="29" applyNumberFormat="1" applyFont="1" applyFill="1" applyBorder="1" applyAlignment="1">
      <alignment horizontal="center" vertical="center"/>
    </xf>
    <xf numFmtId="10" fontId="112" fillId="24" borderId="9" xfId="12" applyNumberFormat="1" applyFont="1" applyFill="1" applyBorder="1" applyAlignment="1">
      <alignment horizontal="center" vertical="center"/>
    </xf>
    <xf numFmtId="10" fontId="112" fillId="24" borderId="58" xfId="12" applyNumberFormat="1" applyFont="1" applyFill="1" applyBorder="1" applyAlignment="1">
      <alignment horizontal="center" vertical="center"/>
    </xf>
    <xf numFmtId="0" fontId="142" fillId="4" borderId="36" xfId="12" applyFont="1" applyFill="1" applyBorder="1" applyAlignment="1">
      <alignment horizontal="left" vertical="center" wrapText="1"/>
    </xf>
    <xf numFmtId="0" fontId="142" fillId="4" borderId="10" xfId="12" applyFont="1" applyFill="1" applyBorder="1" applyAlignment="1">
      <alignment horizontal="left" vertical="center" wrapText="1"/>
    </xf>
    <xf numFmtId="0" fontId="142" fillId="4" borderId="58" xfId="12" applyFont="1" applyFill="1" applyBorder="1" applyAlignment="1">
      <alignment horizontal="left" vertical="center" wrapText="1"/>
    </xf>
    <xf numFmtId="4" fontId="111" fillId="4" borderId="36" xfId="12" applyNumberFormat="1" applyFont="1" applyFill="1" applyBorder="1" applyAlignment="1">
      <alignment horizontal="center" vertical="center"/>
    </xf>
    <xf numFmtId="4" fontId="111" fillId="4" borderId="10" xfId="12" applyNumberFormat="1" applyFont="1" applyFill="1" applyBorder="1" applyAlignment="1">
      <alignment horizontal="center" vertical="center"/>
    </xf>
    <xf numFmtId="4" fontId="111" fillId="4" borderId="17" xfId="12" applyNumberFormat="1" applyFont="1" applyFill="1" applyBorder="1" applyAlignment="1">
      <alignment horizontal="center" vertical="center"/>
    </xf>
    <xf numFmtId="4" fontId="111" fillId="4" borderId="9" xfId="12" applyNumberFormat="1" applyFont="1" applyFill="1" applyBorder="1" applyAlignment="1">
      <alignment horizontal="center" vertical="center"/>
    </xf>
    <xf numFmtId="10" fontId="111" fillId="4" borderId="9" xfId="29" applyNumberFormat="1" applyFont="1" applyFill="1" applyBorder="1" applyAlignment="1">
      <alignment horizontal="center" vertical="center"/>
    </xf>
    <xf numFmtId="10" fontId="111" fillId="4" borderId="17" xfId="29" applyNumberFormat="1" applyFont="1" applyFill="1" applyBorder="1" applyAlignment="1">
      <alignment horizontal="center" vertical="center"/>
    </xf>
    <xf numFmtId="10" fontId="14" fillId="4" borderId="9" xfId="29" applyNumberFormat="1" applyFont="1" applyFill="1" applyBorder="1" applyAlignment="1">
      <alignment horizontal="center" vertical="center"/>
    </xf>
    <xf numFmtId="10" fontId="14" fillId="4" borderId="17" xfId="29" applyNumberFormat="1" applyFont="1" applyFill="1" applyBorder="1" applyAlignment="1">
      <alignment horizontal="center" vertical="center"/>
    </xf>
    <xf numFmtId="10" fontId="111" fillId="0" borderId="9" xfId="29" applyNumberFormat="1" applyFont="1" applyFill="1" applyBorder="1" applyAlignment="1">
      <alignment horizontal="center" vertical="center"/>
    </xf>
    <xf numFmtId="10" fontId="111" fillId="0" borderId="17" xfId="29" applyNumberFormat="1" applyFont="1" applyFill="1" applyBorder="1" applyAlignment="1">
      <alignment horizontal="center" vertical="center"/>
    </xf>
    <xf numFmtId="4" fontId="111" fillId="4" borderId="9" xfId="12" applyNumberFormat="1" applyFont="1" applyFill="1" applyBorder="1" applyAlignment="1">
      <alignment horizontal="right" vertical="center"/>
    </xf>
    <xf numFmtId="4" fontId="111" fillId="4" borderId="10" xfId="12" applyNumberFormat="1" applyFont="1" applyFill="1" applyBorder="1" applyAlignment="1">
      <alignment horizontal="right" vertical="center"/>
    </xf>
    <xf numFmtId="10" fontId="111" fillId="0" borderId="58" xfId="29" applyNumberFormat="1" applyFont="1" applyFill="1" applyBorder="1" applyAlignment="1">
      <alignment horizontal="center" vertical="center"/>
    </xf>
    <xf numFmtId="0" fontId="158" fillId="24" borderId="36" xfId="12" applyFont="1" applyFill="1" applyBorder="1" applyAlignment="1">
      <alignment horizontal="left" vertical="center" wrapText="1"/>
    </xf>
    <xf numFmtId="0" fontId="158" fillId="24" borderId="10" xfId="12" applyFont="1" applyFill="1" applyBorder="1" applyAlignment="1">
      <alignment horizontal="left" vertical="center" wrapText="1"/>
    </xf>
    <xf numFmtId="0" fontId="158" fillId="24" borderId="58" xfId="12" applyFont="1" applyFill="1" applyBorder="1" applyAlignment="1">
      <alignment horizontal="left" vertical="center" wrapText="1"/>
    </xf>
    <xf numFmtId="4" fontId="112" fillId="24" borderId="36" xfId="12" applyNumberFormat="1" applyFont="1" applyFill="1" applyBorder="1" applyAlignment="1">
      <alignment horizontal="center" vertical="center"/>
    </xf>
    <xf numFmtId="0" fontId="112" fillId="24" borderId="10" xfId="12" applyFont="1" applyFill="1" applyBorder="1" applyAlignment="1">
      <alignment horizontal="center" vertical="center"/>
    </xf>
    <xf numFmtId="0" fontId="112" fillId="24" borderId="17" xfId="12" applyFont="1" applyFill="1" applyBorder="1" applyAlignment="1">
      <alignment horizontal="center" vertical="center"/>
    </xf>
    <xf numFmtId="10" fontId="111" fillId="24" borderId="9" xfId="29" applyNumberFormat="1" applyFont="1" applyFill="1" applyBorder="1" applyAlignment="1">
      <alignment horizontal="center" vertical="center"/>
    </xf>
    <xf numFmtId="10" fontId="111" fillId="24" borderId="17" xfId="29" applyNumberFormat="1" applyFont="1" applyFill="1" applyBorder="1" applyAlignment="1">
      <alignment horizontal="center" vertical="center"/>
    </xf>
    <xf numFmtId="10" fontId="111" fillId="4" borderId="58" xfId="29" applyNumberFormat="1" applyFont="1" applyFill="1" applyBorder="1" applyAlignment="1">
      <alignment horizontal="center" vertical="center"/>
    </xf>
    <xf numFmtId="4" fontId="111" fillId="0" borderId="9" xfId="12" applyNumberFormat="1" applyFont="1" applyFill="1" applyBorder="1" applyAlignment="1">
      <alignment horizontal="center" vertical="center"/>
    </xf>
    <xf numFmtId="4" fontId="111" fillId="0" borderId="10" xfId="12" applyNumberFormat="1" applyFont="1" applyFill="1" applyBorder="1" applyAlignment="1">
      <alignment horizontal="center" vertical="center"/>
    </xf>
    <xf numFmtId="10" fontId="111" fillId="14" borderId="9" xfId="29" applyNumberFormat="1" applyFont="1" applyFill="1" applyBorder="1" applyAlignment="1">
      <alignment horizontal="center" vertical="center"/>
    </xf>
    <xf numFmtId="10" fontId="111" fillId="14" borderId="58" xfId="29" applyNumberFormat="1" applyFont="1" applyFill="1" applyBorder="1" applyAlignment="1">
      <alignment horizontal="center" vertical="center"/>
    </xf>
    <xf numFmtId="4" fontId="111" fillId="0" borderId="17" xfId="12" applyNumberFormat="1" applyFont="1" applyFill="1" applyBorder="1" applyAlignment="1">
      <alignment horizontal="center" vertical="center"/>
    </xf>
    <xf numFmtId="0" fontId="158" fillId="14" borderId="36" xfId="12" applyFont="1" applyFill="1" applyBorder="1" applyAlignment="1">
      <alignment horizontal="left" vertical="center" wrapText="1"/>
    </xf>
    <xf numFmtId="0" fontId="158" fillId="14" borderId="10" xfId="12" applyFont="1" applyFill="1" applyBorder="1" applyAlignment="1">
      <alignment horizontal="left" vertical="center" wrapText="1"/>
    </xf>
    <xf numFmtId="0" fontId="158" fillId="14" borderId="58" xfId="12" applyFont="1" applyFill="1" applyBorder="1" applyAlignment="1">
      <alignment horizontal="left" vertical="center" wrapText="1"/>
    </xf>
    <xf numFmtId="4" fontId="112" fillId="14" borderId="36" xfId="12" applyNumberFormat="1" applyFont="1" applyFill="1" applyBorder="1" applyAlignment="1">
      <alignment horizontal="center" vertical="center"/>
    </xf>
    <xf numFmtId="4" fontId="112" fillId="14" borderId="10" xfId="12" applyNumberFormat="1" applyFont="1" applyFill="1" applyBorder="1" applyAlignment="1">
      <alignment horizontal="center" vertical="center"/>
    </xf>
    <xf numFmtId="10" fontId="112" fillId="14" borderId="9" xfId="29" applyNumberFormat="1" applyFont="1" applyFill="1" applyBorder="1" applyAlignment="1">
      <alignment horizontal="center" vertical="center"/>
    </xf>
    <xf numFmtId="10" fontId="112" fillId="14" borderId="17" xfId="29" applyNumberFormat="1" applyFont="1" applyFill="1" applyBorder="1" applyAlignment="1">
      <alignment horizontal="center" vertical="center"/>
    </xf>
    <xf numFmtId="4" fontId="112" fillId="14" borderId="9" xfId="12" applyNumberFormat="1" applyFont="1" applyFill="1" applyBorder="1" applyAlignment="1">
      <alignment horizontal="center" vertical="center"/>
    </xf>
    <xf numFmtId="4" fontId="112" fillId="14" borderId="17" xfId="12" applyNumberFormat="1" applyFont="1" applyFill="1" applyBorder="1" applyAlignment="1">
      <alignment horizontal="center" vertical="center"/>
    </xf>
    <xf numFmtId="10" fontId="111" fillId="14" borderId="17" xfId="29" applyNumberFormat="1" applyFont="1" applyFill="1" applyBorder="1" applyAlignment="1">
      <alignment horizontal="center" vertical="center"/>
    </xf>
    <xf numFmtId="0" fontId="111" fillId="4" borderId="36" xfId="12" applyFont="1" applyFill="1" applyBorder="1" applyAlignment="1">
      <alignment horizontal="left" vertical="center" wrapText="1"/>
    </xf>
    <xf numFmtId="0" fontId="111" fillId="4" borderId="10" xfId="12" applyFont="1" applyFill="1" applyBorder="1" applyAlignment="1">
      <alignment horizontal="left" vertical="center" wrapText="1"/>
    </xf>
    <xf numFmtId="0" fontId="111" fillId="4" borderId="58" xfId="12" applyFont="1" applyFill="1" applyBorder="1" applyAlignment="1">
      <alignment horizontal="left" vertical="center" wrapText="1"/>
    </xf>
    <xf numFmtId="0" fontId="142" fillId="4" borderId="42" xfId="12" applyFont="1" applyFill="1" applyBorder="1" applyAlignment="1">
      <alignment horizontal="left" vertical="center" wrapText="1"/>
    </xf>
    <xf numFmtId="0" fontId="142" fillId="4" borderId="28" xfId="12" applyFont="1" applyFill="1" applyBorder="1" applyAlignment="1">
      <alignment horizontal="left" vertical="center" wrapText="1"/>
    </xf>
    <xf numFmtId="0" fontId="142" fillId="4" borderId="70" xfId="12" applyFont="1" applyFill="1" applyBorder="1" applyAlignment="1">
      <alignment horizontal="left" vertical="center" wrapText="1"/>
    </xf>
    <xf numFmtId="4" fontId="111" fillId="4" borderId="42" xfId="12" applyNumberFormat="1" applyFont="1" applyFill="1" applyBorder="1" applyAlignment="1">
      <alignment horizontal="center" vertical="center"/>
    </xf>
    <xf numFmtId="4" fontId="111" fillId="4" borderId="28" xfId="12" applyNumberFormat="1" applyFont="1" applyFill="1" applyBorder="1" applyAlignment="1">
      <alignment horizontal="center" vertical="center"/>
    </xf>
    <xf numFmtId="4" fontId="111" fillId="4" borderId="29" xfId="12" applyNumberFormat="1" applyFont="1" applyFill="1" applyBorder="1" applyAlignment="1">
      <alignment horizontal="center" vertical="center"/>
    </xf>
    <xf numFmtId="4" fontId="111" fillId="4" borderId="26" xfId="12" applyNumberFormat="1" applyFont="1" applyFill="1" applyBorder="1" applyAlignment="1">
      <alignment horizontal="center" vertical="center"/>
    </xf>
    <xf numFmtId="10" fontId="111" fillId="4" borderId="26" xfId="29" applyNumberFormat="1" applyFont="1" applyFill="1" applyBorder="1" applyAlignment="1">
      <alignment horizontal="center" vertical="center"/>
    </xf>
    <xf numFmtId="10" fontId="111" fillId="4" borderId="29" xfId="29" applyNumberFormat="1" applyFont="1" applyFill="1" applyBorder="1" applyAlignment="1">
      <alignment horizontal="center" vertical="center"/>
    </xf>
    <xf numFmtId="10" fontId="14" fillId="4" borderId="26" xfId="29" applyNumberFormat="1" applyFont="1" applyFill="1" applyBorder="1" applyAlignment="1">
      <alignment horizontal="center" vertical="center"/>
    </xf>
    <xf numFmtId="10" fontId="14" fillId="4" borderId="29" xfId="29" applyNumberFormat="1" applyFont="1" applyFill="1" applyBorder="1" applyAlignment="1">
      <alignment horizontal="center" vertical="center"/>
    </xf>
    <xf numFmtId="4" fontId="112" fillId="24" borderId="84" xfId="12" applyNumberFormat="1" applyFont="1" applyFill="1" applyBorder="1" applyAlignment="1">
      <alignment horizontal="center" vertical="center"/>
    </xf>
    <xf numFmtId="4" fontId="112" fillId="24" borderId="19" xfId="12" applyNumberFormat="1" applyFont="1" applyFill="1" applyBorder="1" applyAlignment="1">
      <alignment horizontal="center" vertical="center"/>
    </xf>
    <xf numFmtId="4" fontId="112" fillId="24" borderId="86" xfId="12" applyNumberFormat="1" applyFont="1" applyFill="1" applyBorder="1" applyAlignment="1">
      <alignment horizontal="center" vertical="center"/>
    </xf>
    <xf numFmtId="10" fontId="112" fillId="24" borderId="84" xfId="29" applyNumberFormat="1" applyFont="1" applyFill="1" applyBorder="1" applyAlignment="1">
      <alignment horizontal="center" vertical="center"/>
    </xf>
    <xf numFmtId="10" fontId="112" fillId="24" borderId="86" xfId="29" applyNumberFormat="1" applyFont="1" applyFill="1" applyBorder="1" applyAlignment="1">
      <alignment horizontal="center" vertical="center"/>
    </xf>
    <xf numFmtId="164" fontId="112" fillId="24" borderId="84" xfId="12" applyNumberFormat="1" applyFont="1" applyFill="1" applyBorder="1" applyAlignment="1">
      <alignment horizontal="center" vertical="center"/>
    </xf>
    <xf numFmtId="164" fontId="112" fillId="24" borderId="19" xfId="12" applyNumberFormat="1" applyFont="1" applyFill="1" applyBorder="1" applyAlignment="1">
      <alignment horizontal="center" vertical="center"/>
    </xf>
    <xf numFmtId="164" fontId="112" fillId="24" borderId="86" xfId="12" applyNumberFormat="1" applyFont="1" applyFill="1" applyBorder="1" applyAlignment="1">
      <alignment horizontal="center" vertical="center"/>
    </xf>
    <xf numFmtId="10" fontId="112" fillId="24" borderId="20" xfId="29" applyNumberFormat="1" applyFont="1" applyFill="1" applyBorder="1" applyAlignment="1">
      <alignment horizontal="center" vertical="center"/>
    </xf>
    <xf numFmtId="10" fontId="111" fillId="9" borderId="54" xfId="12" applyNumberFormat="1" applyFont="1" applyFill="1" applyBorder="1" applyAlignment="1">
      <alignment horizontal="center" vertical="center"/>
    </xf>
    <xf numFmtId="0" fontId="111" fillId="9" borderId="63" xfId="12" applyFont="1" applyFill="1" applyBorder="1" applyAlignment="1">
      <alignment horizontal="left" vertical="center"/>
    </xf>
    <xf numFmtId="0" fontId="111" fillId="9" borderId="41" xfId="12" applyFont="1" applyFill="1" applyBorder="1" applyAlignment="1">
      <alignment horizontal="left" vertical="center"/>
    </xf>
    <xf numFmtId="0" fontId="111" fillId="9" borderId="62" xfId="12" applyFont="1" applyFill="1" applyBorder="1" applyAlignment="1">
      <alignment horizontal="left" vertical="center"/>
    </xf>
    <xf numFmtId="4" fontId="111" fillId="0" borderId="26" xfId="12" applyNumberFormat="1" applyFont="1" applyFill="1" applyBorder="1" applyAlignment="1">
      <alignment horizontal="center" vertical="center"/>
    </xf>
    <xf numFmtId="4" fontId="111" fillId="0" borderId="28" xfId="12" applyNumberFormat="1" applyFont="1" applyFill="1" applyBorder="1" applyAlignment="1">
      <alignment horizontal="center" vertical="center"/>
    </xf>
    <xf numFmtId="4" fontId="111" fillId="0" borderId="29" xfId="12" applyNumberFormat="1" applyFont="1" applyFill="1" applyBorder="1" applyAlignment="1">
      <alignment horizontal="center" vertical="center"/>
    </xf>
    <xf numFmtId="10" fontId="111" fillId="0" borderId="26" xfId="29" applyNumberFormat="1" applyFont="1" applyFill="1" applyBorder="1" applyAlignment="1">
      <alignment horizontal="center" vertical="center"/>
    </xf>
    <xf numFmtId="10" fontId="111" fillId="0" borderId="29" xfId="29" applyNumberFormat="1" applyFont="1" applyFill="1" applyBorder="1" applyAlignment="1">
      <alignment horizontal="center" vertical="center"/>
    </xf>
    <xf numFmtId="10" fontId="111" fillId="0" borderId="70" xfId="29" applyNumberFormat="1" applyFont="1" applyFill="1" applyBorder="1" applyAlignment="1">
      <alignment horizontal="center" vertical="center"/>
    </xf>
    <xf numFmtId="0" fontId="162" fillId="24" borderId="18" xfId="12" applyFont="1" applyFill="1" applyBorder="1" applyAlignment="1">
      <alignment horizontal="left" vertical="center" wrapText="1"/>
    </xf>
    <xf numFmtId="0" fontId="162" fillId="24" borderId="19" xfId="12" applyFont="1" applyFill="1" applyBorder="1" applyAlignment="1">
      <alignment horizontal="left" vertical="center" wrapText="1"/>
    </xf>
    <xf numFmtId="0" fontId="162" fillId="24" borderId="20" xfId="12" applyFont="1" applyFill="1" applyBorder="1" applyAlignment="1">
      <alignment horizontal="left" vertical="center" wrapText="1"/>
    </xf>
    <xf numFmtId="4" fontId="112" fillId="24" borderId="18" xfId="12" applyNumberFormat="1" applyFont="1" applyFill="1" applyBorder="1" applyAlignment="1">
      <alignment horizontal="center" vertical="center"/>
    </xf>
    <xf numFmtId="10" fontId="21" fillId="24" borderId="84" xfId="29" applyNumberFormat="1" applyFont="1" applyFill="1" applyBorder="1" applyAlignment="1">
      <alignment horizontal="center" vertical="center"/>
    </xf>
    <xf numFmtId="10" fontId="21" fillId="24" borderId="86" xfId="29" applyNumberFormat="1" applyFont="1" applyFill="1" applyBorder="1" applyAlignment="1">
      <alignment horizontal="center" vertical="center"/>
    </xf>
    <xf numFmtId="4" fontId="142" fillId="4" borderId="9" xfId="12" applyNumberFormat="1" applyFont="1" applyFill="1" applyBorder="1" applyAlignment="1">
      <alignment horizontal="center" vertical="center"/>
    </xf>
    <xf numFmtId="4" fontId="142" fillId="4" borderId="10" xfId="12" applyNumberFormat="1" applyFont="1" applyFill="1" applyBorder="1" applyAlignment="1">
      <alignment horizontal="center" vertical="center"/>
    </xf>
    <xf numFmtId="4" fontId="142" fillId="4" borderId="17" xfId="12" applyNumberFormat="1" applyFont="1" applyFill="1" applyBorder="1" applyAlignment="1">
      <alignment horizontal="center" vertical="center"/>
    </xf>
    <xf numFmtId="10" fontId="142" fillId="4" borderId="9" xfId="29" applyNumberFormat="1" applyFont="1" applyFill="1" applyBorder="1" applyAlignment="1">
      <alignment horizontal="center" vertical="center"/>
    </xf>
    <xf numFmtId="10" fontId="142" fillId="4" borderId="17" xfId="29" applyNumberFormat="1" applyFont="1" applyFill="1" applyBorder="1" applyAlignment="1">
      <alignment horizontal="center" vertical="center"/>
    </xf>
    <xf numFmtId="164" fontId="142" fillId="4" borderId="9" xfId="12" applyNumberFormat="1" applyFont="1" applyFill="1" applyBorder="1" applyAlignment="1">
      <alignment horizontal="center" vertical="center"/>
    </xf>
    <xf numFmtId="164" fontId="142" fillId="4" borderId="10" xfId="12" applyNumberFormat="1" applyFont="1" applyFill="1" applyBorder="1" applyAlignment="1">
      <alignment horizontal="center" vertical="center"/>
    </xf>
    <xf numFmtId="164" fontId="142" fillId="4" borderId="17" xfId="12" applyNumberFormat="1" applyFont="1" applyFill="1" applyBorder="1" applyAlignment="1">
      <alignment horizontal="center" vertical="center"/>
    </xf>
    <xf numFmtId="10" fontId="142" fillId="4" borderId="58" xfId="29" applyNumberFormat="1" applyFont="1" applyFill="1" applyBorder="1" applyAlignment="1">
      <alignment horizontal="center" vertical="center"/>
    </xf>
    <xf numFmtId="0" fontId="158" fillId="0" borderId="36" xfId="12" applyFont="1" applyFill="1" applyBorder="1" applyAlignment="1">
      <alignment horizontal="center" vertical="center"/>
    </xf>
    <xf numFmtId="0" fontId="158" fillId="0" borderId="10" xfId="12" applyFont="1" applyFill="1" applyBorder="1" applyAlignment="1">
      <alignment horizontal="center" vertical="center"/>
    </xf>
    <xf numFmtId="0" fontId="158" fillId="0" borderId="17" xfId="12" applyFont="1" applyFill="1" applyBorder="1" applyAlignment="1">
      <alignment horizontal="center" vertical="center"/>
    </xf>
    <xf numFmtId="164" fontId="158" fillId="0" borderId="9" xfId="2" applyFont="1" applyFill="1" applyBorder="1" applyAlignment="1">
      <alignment horizontal="center" vertical="center"/>
    </xf>
    <xf numFmtId="164" fontId="158" fillId="0" borderId="10" xfId="2" applyFont="1" applyFill="1" applyBorder="1" applyAlignment="1">
      <alignment horizontal="center" vertical="center"/>
    </xf>
    <xf numFmtId="164" fontId="158" fillId="0" borderId="17" xfId="2" applyFont="1" applyFill="1" applyBorder="1" applyAlignment="1">
      <alignment horizontal="center" vertical="center"/>
    </xf>
    <xf numFmtId="164" fontId="142" fillId="0" borderId="9" xfId="2" applyFont="1" applyFill="1" applyBorder="1" applyAlignment="1">
      <alignment horizontal="center" vertical="center"/>
    </xf>
    <xf numFmtId="164" fontId="142" fillId="0" borderId="10" xfId="2" applyFont="1" applyFill="1" applyBorder="1" applyAlignment="1">
      <alignment horizontal="center" vertical="center"/>
    </xf>
    <xf numFmtId="164" fontId="142" fillId="0" borderId="17" xfId="2" applyFont="1" applyFill="1" applyBorder="1" applyAlignment="1">
      <alignment horizontal="center" vertical="center"/>
    </xf>
    <xf numFmtId="4" fontId="142" fillId="0" borderId="9" xfId="12" applyNumberFormat="1" applyFont="1" applyFill="1" applyBorder="1" applyAlignment="1">
      <alignment horizontal="center" vertical="center"/>
    </xf>
    <xf numFmtId="4" fontId="142" fillId="0" borderId="10" xfId="12" applyNumberFormat="1" applyFont="1" applyFill="1" applyBorder="1" applyAlignment="1">
      <alignment horizontal="center" vertical="center"/>
    </xf>
    <xf numFmtId="4" fontId="142" fillId="0" borderId="17" xfId="12" applyNumberFormat="1" applyFont="1" applyFill="1" applyBorder="1" applyAlignment="1">
      <alignment horizontal="center" vertical="center"/>
    </xf>
    <xf numFmtId="10" fontId="142" fillId="0" borderId="9" xfId="29" applyNumberFormat="1" applyFont="1" applyFill="1" applyBorder="1" applyAlignment="1">
      <alignment horizontal="center" vertical="center"/>
    </xf>
    <xf numFmtId="10" fontId="142" fillId="0" borderId="17" xfId="29" applyNumberFormat="1" applyFont="1" applyFill="1" applyBorder="1" applyAlignment="1">
      <alignment horizontal="center" vertical="center"/>
    </xf>
    <xf numFmtId="164" fontId="142" fillId="0" borderId="9" xfId="12" applyNumberFormat="1" applyFont="1" applyFill="1" applyBorder="1" applyAlignment="1">
      <alignment horizontal="center" vertical="center"/>
    </xf>
    <xf numFmtId="164" fontId="142" fillId="0" borderId="10" xfId="12" applyNumberFormat="1" applyFont="1" applyFill="1" applyBorder="1" applyAlignment="1">
      <alignment horizontal="center" vertical="center"/>
    </xf>
    <xf numFmtId="164" fontId="142" fillId="0" borderId="17" xfId="12" applyNumberFormat="1" applyFont="1" applyFill="1" applyBorder="1" applyAlignment="1">
      <alignment horizontal="center" vertical="center"/>
    </xf>
    <xf numFmtId="10" fontId="142" fillId="0" borderId="58" xfId="29" applyNumberFormat="1" applyFont="1" applyFill="1" applyBorder="1" applyAlignment="1">
      <alignment horizontal="center" vertical="center"/>
    </xf>
    <xf numFmtId="0" fontId="112" fillId="0" borderId="37" xfId="12" applyFont="1" applyFill="1" applyBorder="1" applyAlignment="1">
      <alignment horizontal="center" vertical="center"/>
    </xf>
    <xf numFmtId="0" fontId="112" fillId="0" borderId="41" xfId="12" applyFont="1" applyFill="1" applyBorder="1" applyAlignment="1">
      <alignment horizontal="center" vertical="center"/>
    </xf>
    <xf numFmtId="0" fontId="112" fillId="0" borderId="62" xfId="12" applyFont="1" applyFill="1" applyBorder="1" applyAlignment="1">
      <alignment horizontal="center" vertical="center"/>
    </xf>
    <xf numFmtId="164" fontId="111" fillId="0" borderId="63" xfId="2" applyFont="1" applyFill="1" applyBorder="1" applyAlignment="1">
      <alignment horizontal="center" vertical="center"/>
    </xf>
    <xf numFmtId="164" fontId="111" fillId="0" borderId="41" xfId="2" applyFont="1" applyFill="1" applyBorder="1" applyAlignment="1">
      <alignment horizontal="center" vertical="center"/>
    </xf>
    <xf numFmtId="164" fontId="111" fillId="0" borderId="62" xfId="2" applyFont="1" applyFill="1" applyBorder="1" applyAlignment="1">
      <alignment horizontal="center" vertical="center"/>
    </xf>
    <xf numFmtId="4" fontId="111" fillId="0" borderId="63" xfId="12" applyNumberFormat="1" applyFont="1" applyFill="1" applyBorder="1" applyAlignment="1">
      <alignment horizontal="center" vertical="center"/>
    </xf>
    <xf numFmtId="4" fontId="111" fillId="0" borderId="41" xfId="12" applyNumberFormat="1" applyFont="1" applyFill="1" applyBorder="1" applyAlignment="1">
      <alignment horizontal="center" vertical="center"/>
    </xf>
    <xf numFmtId="4" fontId="111" fillId="0" borderId="62" xfId="12" applyNumberFormat="1" applyFont="1" applyFill="1" applyBorder="1" applyAlignment="1">
      <alignment horizontal="center" vertical="center"/>
    </xf>
    <xf numFmtId="10" fontId="111" fillId="0" borderId="63" xfId="12" applyNumberFormat="1" applyFont="1" applyFill="1" applyBorder="1" applyAlignment="1">
      <alignment horizontal="center" vertical="center"/>
    </xf>
    <xf numFmtId="10" fontId="111" fillId="0" borderId="62" xfId="12" applyNumberFormat="1" applyFont="1" applyFill="1" applyBorder="1" applyAlignment="1">
      <alignment horizontal="center" vertical="center"/>
    </xf>
    <xf numFmtId="0" fontId="111" fillId="0" borderId="63" xfId="12" applyFont="1" applyFill="1" applyBorder="1" applyAlignment="1">
      <alignment horizontal="center" vertical="center"/>
    </xf>
    <xf numFmtId="0" fontId="111" fillId="0" borderId="41" xfId="12" applyFont="1" applyFill="1" applyBorder="1" applyAlignment="1">
      <alignment horizontal="center" vertical="center"/>
    </xf>
    <xf numFmtId="0" fontId="111" fillId="0" borderId="62" xfId="12" applyFont="1" applyFill="1" applyBorder="1" applyAlignment="1">
      <alignment horizontal="center" vertical="center"/>
    </xf>
    <xf numFmtId="10" fontId="111" fillId="0" borderId="30" xfId="12" applyNumberFormat="1" applyFont="1" applyFill="1" applyBorder="1" applyAlignment="1">
      <alignment horizontal="center" vertical="center"/>
    </xf>
    <xf numFmtId="0" fontId="112" fillId="0" borderId="9" xfId="12" applyFont="1" applyFill="1" applyBorder="1" applyAlignment="1">
      <alignment horizontal="left" vertical="center"/>
    </xf>
    <xf numFmtId="0" fontId="112" fillId="0" borderId="10" xfId="12" applyFont="1" applyFill="1" applyBorder="1" applyAlignment="1">
      <alignment horizontal="left" vertical="center"/>
    </xf>
    <xf numFmtId="0" fontId="112" fillId="0" borderId="17" xfId="12" applyFont="1" applyFill="1" applyBorder="1" applyAlignment="1">
      <alignment horizontal="left" vertical="center"/>
    </xf>
    <xf numFmtId="0" fontId="112" fillId="5" borderId="42" xfId="12" applyFont="1" applyFill="1" applyBorder="1" applyAlignment="1">
      <alignment horizontal="center" vertical="center"/>
    </xf>
    <xf numFmtId="0" fontId="112" fillId="5" borderId="28" xfId="12" applyFont="1" applyFill="1" applyBorder="1" applyAlignment="1">
      <alignment horizontal="center" vertical="center"/>
    </xf>
    <xf numFmtId="0" fontId="112" fillId="5" borderId="29" xfId="12" applyFont="1" applyFill="1" applyBorder="1" applyAlignment="1">
      <alignment horizontal="center" vertical="center"/>
    </xf>
    <xf numFmtId="0" fontId="112" fillId="5" borderId="21" xfId="12" applyFont="1" applyFill="1" applyBorder="1" applyAlignment="1">
      <alignment horizontal="center" vertical="center"/>
    </xf>
    <xf numFmtId="0" fontId="112" fillId="5" borderId="0" xfId="12" applyFont="1" applyFill="1" applyBorder="1" applyAlignment="1">
      <alignment horizontal="center" vertical="center"/>
    </xf>
    <xf numFmtId="0" fontId="112" fillId="5" borderId="85" xfId="12" applyFont="1" applyFill="1" applyBorder="1" applyAlignment="1">
      <alignment horizontal="center" vertical="center"/>
    </xf>
    <xf numFmtId="0" fontId="112" fillId="5" borderId="26" xfId="12" applyFont="1" applyFill="1" applyBorder="1" applyAlignment="1">
      <alignment horizontal="center" vertical="center" wrapText="1"/>
    </xf>
    <xf numFmtId="0" fontId="112" fillId="5" borderId="28" xfId="12" applyFont="1" applyFill="1" applyBorder="1" applyAlignment="1">
      <alignment horizontal="center" vertical="center" wrapText="1"/>
    </xf>
    <xf numFmtId="0" fontId="112" fillId="5" borderId="29" xfId="12" applyFont="1" applyFill="1" applyBorder="1" applyAlignment="1">
      <alignment horizontal="center" vertical="center" wrapText="1"/>
    </xf>
    <xf numFmtId="0" fontId="112" fillId="5" borderId="43" xfId="12" applyFont="1" applyFill="1" applyBorder="1" applyAlignment="1">
      <alignment horizontal="center" vertical="center" wrapText="1"/>
    </xf>
    <xf numFmtId="0" fontId="112" fillId="5" borderId="0" xfId="12" applyFont="1" applyFill="1" applyBorder="1" applyAlignment="1">
      <alignment horizontal="center" vertical="center" wrapText="1"/>
    </xf>
    <xf numFmtId="0" fontId="112" fillId="5" borderId="85" xfId="12" applyFont="1" applyFill="1" applyBorder="1" applyAlignment="1">
      <alignment horizontal="center" vertical="center" wrapText="1"/>
    </xf>
    <xf numFmtId="0" fontId="112" fillId="5" borderId="9" xfId="12" applyFont="1" applyFill="1" applyBorder="1" applyAlignment="1">
      <alignment horizontal="center" vertical="center"/>
    </xf>
    <xf numFmtId="0" fontId="112" fillId="5" borderId="10" xfId="12" applyFont="1" applyFill="1" applyBorder="1" applyAlignment="1">
      <alignment horizontal="center" vertical="center"/>
    </xf>
    <xf numFmtId="0" fontId="112" fillId="5" borderId="17" xfId="12" applyFont="1" applyFill="1" applyBorder="1" applyAlignment="1">
      <alignment horizontal="center" vertical="center"/>
    </xf>
    <xf numFmtId="0" fontId="112" fillId="5" borderId="58" xfId="12" applyFont="1" applyFill="1" applyBorder="1" applyAlignment="1">
      <alignment horizontal="center" vertical="center"/>
    </xf>
    <xf numFmtId="0" fontId="112" fillId="5" borderId="26" xfId="12" applyFont="1" applyFill="1" applyBorder="1" applyAlignment="1">
      <alignment horizontal="center" vertical="center"/>
    </xf>
    <xf numFmtId="0" fontId="112" fillId="5" borderId="70" xfId="12" applyFont="1" applyFill="1" applyBorder="1" applyAlignment="1">
      <alignment horizontal="center" vertical="center"/>
    </xf>
    <xf numFmtId="4" fontId="142" fillId="4" borderId="2" xfId="12" applyNumberFormat="1" applyFont="1" applyFill="1" applyBorder="1" applyAlignment="1">
      <alignment horizontal="center" vertical="center"/>
    </xf>
    <xf numFmtId="10" fontId="142" fillId="4" borderId="2" xfId="29" applyNumberFormat="1" applyFont="1" applyFill="1" applyBorder="1" applyAlignment="1">
      <alignment horizontal="center" vertical="center"/>
    </xf>
    <xf numFmtId="164" fontId="142" fillId="4" borderId="2" xfId="12" applyNumberFormat="1" applyFont="1" applyFill="1" applyBorder="1" applyAlignment="1">
      <alignment horizontal="center" vertical="center"/>
    </xf>
    <xf numFmtId="10" fontId="142" fillId="4" borderId="3" xfId="29" applyNumberFormat="1" applyFont="1" applyFill="1" applyBorder="1" applyAlignment="1">
      <alignment horizontal="center" vertical="center"/>
    </xf>
    <xf numFmtId="0" fontId="158" fillId="0" borderId="4" xfId="12" applyFont="1" applyFill="1" applyBorder="1" applyAlignment="1">
      <alignment horizontal="center" vertical="center"/>
    </xf>
    <xf numFmtId="0" fontId="158" fillId="0" borderId="5" xfId="12" applyFont="1" applyFill="1" applyBorder="1" applyAlignment="1">
      <alignment horizontal="center" vertical="center"/>
    </xf>
    <xf numFmtId="164" fontId="142" fillId="4" borderId="5" xfId="2" applyFont="1" applyFill="1" applyBorder="1" applyAlignment="1">
      <alignment horizontal="center" vertical="center"/>
    </xf>
    <xf numFmtId="4" fontId="142" fillId="4" borderId="5" xfId="12" applyNumberFormat="1" applyFont="1" applyFill="1" applyBorder="1" applyAlignment="1">
      <alignment horizontal="center" vertical="center"/>
    </xf>
    <xf numFmtId="10" fontId="142" fillId="4" borderId="5" xfId="29" applyNumberFormat="1" applyFont="1" applyFill="1" applyBorder="1" applyAlignment="1">
      <alignment horizontal="center" vertical="center"/>
    </xf>
    <xf numFmtId="4" fontId="142" fillId="26" borderId="5" xfId="12" applyNumberFormat="1" applyFont="1" applyFill="1" applyBorder="1" applyAlignment="1">
      <alignment horizontal="center" vertical="center"/>
    </xf>
    <xf numFmtId="0" fontId="158" fillId="0" borderId="1" xfId="12" applyFont="1" applyFill="1" applyBorder="1" applyAlignment="1">
      <alignment horizontal="center" vertical="center"/>
    </xf>
    <xf numFmtId="0" fontId="158" fillId="0" borderId="2" xfId="12" applyFont="1" applyFill="1" applyBorder="1" applyAlignment="1">
      <alignment horizontal="center" vertical="center"/>
    </xf>
    <xf numFmtId="164" fontId="142" fillId="4" borderId="2" xfId="2" applyFont="1" applyFill="1" applyBorder="1" applyAlignment="1">
      <alignment horizontal="center" vertical="center"/>
    </xf>
    <xf numFmtId="4" fontId="142" fillId="4" borderId="78" xfId="12" applyNumberFormat="1" applyFont="1" applyFill="1" applyBorder="1" applyAlignment="1">
      <alignment horizontal="center" vertical="center"/>
    </xf>
    <xf numFmtId="4" fontId="142" fillId="26" borderId="2" xfId="12" applyNumberFormat="1" applyFont="1" applyFill="1" applyBorder="1" applyAlignment="1">
      <alignment horizontal="center" vertical="center"/>
    </xf>
    <xf numFmtId="164" fontId="142" fillId="4" borderId="5" xfId="12" applyNumberFormat="1" applyFont="1" applyFill="1" applyBorder="1" applyAlignment="1">
      <alignment horizontal="center" vertical="center"/>
    </xf>
    <xf numFmtId="10" fontId="142" fillId="4" borderId="6" xfId="29" applyNumberFormat="1" applyFont="1" applyFill="1" applyBorder="1" applyAlignment="1">
      <alignment horizontal="center" vertical="center"/>
    </xf>
    <xf numFmtId="0" fontId="158" fillId="0" borderId="7" xfId="12" applyFont="1" applyFill="1" applyBorder="1" applyAlignment="1">
      <alignment horizontal="center" vertical="center"/>
    </xf>
    <xf numFmtId="0" fontId="158" fillId="0" borderId="8" xfId="12" applyFont="1" applyFill="1" applyBorder="1" applyAlignment="1">
      <alignment horizontal="center" vertical="center"/>
    </xf>
    <xf numFmtId="164" fontId="142" fillId="0" borderId="8" xfId="2" applyFont="1" applyFill="1" applyBorder="1" applyAlignment="1">
      <alignment horizontal="center" vertical="center"/>
    </xf>
    <xf numFmtId="4" fontId="142" fillId="4" borderId="8" xfId="12" applyNumberFormat="1" applyFont="1" applyFill="1" applyBorder="1" applyAlignment="1">
      <alignment horizontal="center" vertical="center"/>
    </xf>
    <xf numFmtId="10" fontId="142" fillId="0" borderId="8" xfId="29" applyNumberFormat="1" applyFont="1" applyFill="1" applyBorder="1" applyAlignment="1">
      <alignment horizontal="center" vertical="center"/>
    </xf>
    <xf numFmtId="4" fontId="142" fillId="0" borderId="8" xfId="12" applyNumberFormat="1" applyFont="1" applyFill="1" applyBorder="1" applyAlignment="1">
      <alignment horizontal="center" vertical="center"/>
    </xf>
    <xf numFmtId="164" fontId="142" fillId="0" borderId="8" xfId="12" applyNumberFormat="1" applyFont="1" applyFill="1" applyBorder="1" applyAlignment="1">
      <alignment horizontal="center" vertical="center"/>
    </xf>
    <xf numFmtId="10" fontId="142" fillId="0" borderId="35" xfId="29" applyNumberFormat="1" applyFont="1" applyFill="1" applyBorder="1" applyAlignment="1">
      <alignment horizontal="center" vertical="center"/>
    </xf>
    <xf numFmtId="164" fontId="142" fillId="0" borderId="5" xfId="2" applyFont="1" applyFill="1" applyBorder="1" applyAlignment="1">
      <alignment horizontal="center" vertical="center"/>
    </xf>
    <xf numFmtId="4" fontId="142" fillId="0" borderId="5" xfId="12" applyNumberFormat="1" applyFont="1" applyFill="1" applyBorder="1" applyAlignment="1">
      <alignment horizontal="center" vertical="center"/>
    </xf>
    <xf numFmtId="10" fontId="142" fillId="0" borderId="5" xfId="29" applyNumberFormat="1" applyFont="1" applyFill="1" applyBorder="1" applyAlignment="1">
      <alignment horizontal="center" vertical="center"/>
    </xf>
    <xf numFmtId="0" fontId="112" fillId="0" borderId="51" xfId="12" applyFont="1" applyFill="1" applyBorder="1" applyAlignment="1">
      <alignment horizontal="left" vertical="center"/>
    </xf>
    <xf numFmtId="4" fontId="142" fillId="4" borderId="84" xfId="12" applyNumberFormat="1" applyFont="1" applyFill="1" applyBorder="1" applyAlignment="1">
      <alignment horizontal="center" vertical="center"/>
    </xf>
    <xf numFmtId="4" fontId="142" fillId="4" borderId="19" xfId="12" applyNumberFormat="1" applyFont="1" applyFill="1" applyBorder="1" applyAlignment="1">
      <alignment horizontal="center" vertical="center"/>
    </xf>
    <xf numFmtId="4" fontId="142" fillId="4" borderId="86" xfId="12" applyNumberFormat="1" applyFont="1" applyFill="1" applyBorder="1" applyAlignment="1">
      <alignment horizontal="center" vertical="center"/>
    </xf>
    <xf numFmtId="10" fontId="142" fillId="0" borderId="84" xfId="29" applyNumberFormat="1" applyFont="1" applyFill="1" applyBorder="1" applyAlignment="1">
      <alignment horizontal="center" vertical="center"/>
    </xf>
    <xf numFmtId="10" fontId="142" fillId="0" borderId="86" xfId="29" applyNumberFormat="1" applyFont="1" applyFill="1" applyBorder="1" applyAlignment="1">
      <alignment horizontal="center" vertical="center"/>
    </xf>
    <xf numFmtId="164" fontId="159" fillId="0" borderId="84" xfId="12" applyNumberFormat="1" applyFont="1" applyFill="1" applyBorder="1" applyAlignment="1">
      <alignment horizontal="center" vertical="center"/>
    </xf>
    <xf numFmtId="164" fontId="159" fillId="0" borderId="19" xfId="12" applyNumberFormat="1" applyFont="1" applyFill="1" applyBorder="1" applyAlignment="1">
      <alignment horizontal="center" vertical="center"/>
    </xf>
    <xf numFmtId="164" fontId="159" fillId="0" borderId="86" xfId="12" applyNumberFormat="1" applyFont="1" applyFill="1" applyBorder="1" applyAlignment="1">
      <alignment horizontal="center" vertical="center"/>
    </xf>
    <xf numFmtId="10" fontId="142" fillId="0" borderId="20" xfId="29" applyNumberFormat="1" applyFont="1" applyFill="1" applyBorder="1" applyAlignment="1">
      <alignment horizontal="center" vertical="center"/>
    </xf>
    <xf numFmtId="0" fontId="112" fillId="0" borderId="9" xfId="42" applyFont="1" applyFill="1" applyBorder="1" applyAlignment="1">
      <alignment horizontal="center" vertical="center" wrapText="1"/>
    </xf>
    <xf numFmtId="0" fontId="112" fillId="0" borderId="10" xfId="42" applyFont="1" applyFill="1" applyBorder="1" applyAlignment="1">
      <alignment horizontal="center" vertical="center" wrapText="1"/>
    </xf>
    <xf numFmtId="0" fontId="112" fillId="0" borderId="17" xfId="42" applyFont="1" applyFill="1" applyBorder="1" applyAlignment="1">
      <alignment horizontal="center" vertical="center" wrapText="1"/>
    </xf>
    <xf numFmtId="0" fontId="112" fillId="0" borderId="26" xfId="42" applyFont="1" applyBorder="1" applyAlignment="1">
      <alignment horizontal="center" vertical="center"/>
    </xf>
    <xf numFmtId="0" fontId="112" fillId="0" borderId="28" xfId="42" applyFont="1" applyBorder="1" applyAlignment="1">
      <alignment horizontal="center" vertical="center"/>
    </xf>
    <xf numFmtId="0" fontId="112" fillId="0" borderId="29" xfId="42" applyFont="1" applyBorder="1" applyAlignment="1">
      <alignment horizontal="center" vertical="center"/>
    </xf>
    <xf numFmtId="0" fontId="112" fillId="0" borderId="46" xfId="42" applyFont="1" applyBorder="1" applyAlignment="1">
      <alignment horizontal="center" vertical="center"/>
    </xf>
    <xf numFmtId="0" fontId="112" fillId="0" borderId="54" xfId="42" applyFont="1" applyBorder="1" applyAlignment="1">
      <alignment horizontal="center" vertical="center"/>
    </xf>
    <xf numFmtId="0" fontId="112" fillId="0" borderId="55" xfId="42" applyFont="1" applyBorder="1" applyAlignment="1">
      <alignment horizontal="center" vertical="center"/>
    </xf>
    <xf numFmtId="0" fontId="158" fillId="0" borderId="18" xfId="12" applyFont="1" applyFill="1" applyBorder="1" applyAlignment="1">
      <alignment horizontal="center" vertical="center"/>
    </xf>
    <xf numFmtId="0" fontId="158" fillId="0" borderId="19" xfId="12" applyFont="1" applyFill="1" applyBorder="1" applyAlignment="1">
      <alignment horizontal="center" vertical="center"/>
    </xf>
    <xf numFmtId="0" fontId="158" fillId="0" borderId="86" xfId="12" applyFont="1" applyFill="1" applyBorder="1" applyAlignment="1">
      <alignment horizontal="center" vertical="center"/>
    </xf>
    <xf numFmtId="164" fontId="142" fillId="4" borderId="84" xfId="2" applyFont="1" applyFill="1" applyBorder="1" applyAlignment="1">
      <alignment horizontal="center" vertical="center"/>
    </xf>
    <xf numFmtId="164" fontId="142" fillId="4" borderId="19" xfId="2" applyFont="1" applyFill="1" applyBorder="1" applyAlignment="1">
      <alignment horizontal="center" vertical="center"/>
    </xf>
    <xf numFmtId="164" fontId="142" fillId="4" borderId="86" xfId="2" applyFont="1" applyFill="1" applyBorder="1" applyAlignment="1">
      <alignment horizontal="center" vertical="center"/>
    </xf>
    <xf numFmtId="4" fontId="142" fillId="0" borderId="84" xfId="12" applyNumberFormat="1" applyFont="1" applyFill="1" applyBorder="1" applyAlignment="1">
      <alignment horizontal="center" vertical="center"/>
    </xf>
    <xf numFmtId="4" fontId="142" fillId="0" borderId="19" xfId="12" applyNumberFormat="1" applyFont="1" applyFill="1" applyBorder="1" applyAlignment="1">
      <alignment horizontal="center" vertical="center"/>
    </xf>
    <xf numFmtId="4" fontId="142" fillId="0" borderId="86" xfId="12" applyNumberFormat="1" applyFont="1" applyFill="1" applyBorder="1" applyAlignment="1">
      <alignment horizontal="center" vertical="center"/>
    </xf>
    <xf numFmtId="4" fontId="142" fillId="26" borderId="84" xfId="12" applyNumberFormat="1" applyFont="1" applyFill="1" applyBorder="1" applyAlignment="1">
      <alignment horizontal="center" vertical="center"/>
    </xf>
    <xf numFmtId="4" fontId="142" fillId="26" borderId="19" xfId="12" applyNumberFormat="1" applyFont="1" applyFill="1" applyBorder="1" applyAlignment="1">
      <alignment horizontal="center" vertical="center"/>
    </xf>
    <xf numFmtId="4" fontId="142" fillId="26" borderId="86" xfId="12" applyNumberFormat="1" applyFont="1" applyFill="1" applyBorder="1" applyAlignment="1">
      <alignment horizontal="center" vertical="center"/>
    </xf>
    <xf numFmtId="0" fontId="112" fillId="0" borderId="9" xfId="42" applyNumberFormat="1" applyFont="1" applyFill="1" applyBorder="1" applyAlignment="1">
      <alignment horizontal="center" vertical="center"/>
    </xf>
    <xf numFmtId="0" fontId="112" fillId="0" borderId="17" xfId="42" applyNumberFormat="1" applyFont="1" applyFill="1" applyBorder="1" applyAlignment="1">
      <alignment horizontal="center" vertical="center"/>
    </xf>
    <xf numFmtId="16" fontId="111" fillId="4" borderId="9" xfId="42" applyNumberFormat="1" applyFont="1" applyFill="1" applyBorder="1" applyAlignment="1">
      <alignment horizontal="center" vertical="center"/>
    </xf>
    <xf numFmtId="16" fontId="111" fillId="4" borderId="10" xfId="42" applyNumberFormat="1" applyFont="1" applyFill="1" applyBorder="1" applyAlignment="1">
      <alignment horizontal="center" vertical="center"/>
    </xf>
    <xf numFmtId="16" fontId="111" fillId="4" borderId="17" xfId="42" applyNumberFormat="1" applyFont="1" applyFill="1" applyBorder="1" applyAlignment="1">
      <alignment horizontal="center" vertical="center"/>
    </xf>
    <xf numFmtId="0" fontId="111" fillId="4" borderId="9" xfId="42" applyFont="1" applyFill="1" applyBorder="1" applyAlignment="1">
      <alignment horizontal="center" vertical="center"/>
    </xf>
    <xf numFmtId="0" fontId="111" fillId="4" borderId="17" xfId="42" applyFont="1" applyFill="1" applyBorder="1" applyAlignment="1">
      <alignment horizontal="center" vertical="center"/>
    </xf>
    <xf numFmtId="4" fontId="111" fillId="4" borderId="9" xfId="42" applyNumberFormat="1" applyFont="1" applyFill="1" applyBorder="1" applyAlignment="1">
      <alignment horizontal="center" vertical="center"/>
    </xf>
    <xf numFmtId="4" fontId="111" fillId="4" borderId="10" xfId="42" applyNumberFormat="1" applyFont="1" applyFill="1" applyBorder="1" applyAlignment="1">
      <alignment horizontal="center" vertical="center"/>
    </xf>
    <xf numFmtId="4" fontId="111" fillId="4" borderId="17" xfId="42" applyNumberFormat="1" applyFont="1" applyFill="1" applyBorder="1" applyAlignment="1">
      <alignment horizontal="center" vertical="center"/>
    </xf>
    <xf numFmtId="0" fontId="125" fillId="0" borderId="43" xfId="42" applyFont="1" applyFill="1" applyBorder="1" applyAlignment="1">
      <alignment horizontal="center" vertical="center"/>
    </xf>
    <xf numFmtId="0" fontId="125" fillId="0" borderId="0" xfId="42" applyFont="1" applyFill="1" applyBorder="1" applyAlignment="1">
      <alignment horizontal="center" vertical="center"/>
    </xf>
    <xf numFmtId="0" fontId="111" fillId="0" borderId="43" xfId="42" applyFont="1" applyFill="1" applyBorder="1" applyAlignment="1">
      <alignment horizontal="center" vertical="center" wrapText="1"/>
    </xf>
    <xf numFmtId="0" fontId="111" fillId="0" borderId="0" xfId="42" applyFont="1" applyFill="1" applyBorder="1" applyAlignment="1">
      <alignment horizontal="center" vertical="center" wrapText="1"/>
    </xf>
    <xf numFmtId="4" fontId="112" fillId="4" borderId="9" xfId="42" applyNumberFormat="1" applyFont="1" applyFill="1" applyBorder="1" applyAlignment="1">
      <alignment horizontal="center" vertical="center"/>
    </xf>
    <xf numFmtId="4" fontId="112" fillId="4" borderId="10" xfId="42" applyNumberFormat="1" applyFont="1" applyFill="1" applyBorder="1" applyAlignment="1">
      <alignment horizontal="center" vertical="center"/>
    </xf>
    <xf numFmtId="4" fontId="112" fillId="4" borderId="17" xfId="42" applyNumberFormat="1" applyFont="1" applyFill="1" applyBorder="1" applyAlignment="1">
      <alignment horizontal="center" vertical="center"/>
    </xf>
    <xf numFmtId="4" fontId="112" fillId="0" borderId="9" xfId="42" applyNumberFormat="1" applyFont="1" applyFill="1" applyBorder="1" applyAlignment="1">
      <alignment horizontal="center" vertical="center"/>
    </xf>
    <xf numFmtId="4" fontId="112" fillId="0" borderId="10" xfId="42" applyNumberFormat="1" applyFont="1" applyFill="1" applyBorder="1" applyAlignment="1">
      <alignment horizontal="center" vertical="center"/>
    </xf>
    <xf numFmtId="4" fontId="112" fillId="0" borderId="17" xfId="42" applyNumberFormat="1" applyFont="1" applyFill="1" applyBorder="1" applyAlignment="1">
      <alignment horizontal="center" vertical="center"/>
    </xf>
    <xf numFmtId="0" fontId="163" fillId="0" borderId="26" xfId="12" applyFont="1" applyFill="1" applyBorder="1" applyAlignment="1">
      <alignment horizontal="center" vertical="center" wrapText="1"/>
    </xf>
    <xf numFmtId="0" fontId="163" fillId="0" borderId="28" xfId="12" applyFont="1" applyFill="1" applyBorder="1" applyAlignment="1">
      <alignment horizontal="center" vertical="center" wrapText="1"/>
    </xf>
    <xf numFmtId="0" fontId="163" fillId="0" borderId="29" xfId="12" applyFont="1" applyFill="1" applyBorder="1" applyAlignment="1">
      <alignment horizontal="center" vertical="center" wrapText="1"/>
    </xf>
    <xf numFmtId="0" fontId="163" fillId="0" borderId="46" xfId="12" applyFont="1" applyFill="1" applyBorder="1" applyAlignment="1">
      <alignment horizontal="center" vertical="center" wrapText="1"/>
    </xf>
    <xf numFmtId="0" fontId="163" fillId="0" borderId="54" xfId="12" applyFont="1" applyFill="1" applyBorder="1" applyAlignment="1">
      <alignment horizontal="center" vertical="center" wrapText="1"/>
    </xf>
    <xf numFmtId="0" fontId="163" fillId="0" borderId="55" xfId="12" applyFont="1" applyFill="1" applyBorder="1" applyAlignment="1">
      <alignment horizontal="center" vertical="center" wrapText="1"/>
    </xf>
    <xf numFmtId="0" fontId="112" fillId="0" borderId="26" xfId="12" applyFont="1" applyFill="1" applyBorder="1" applyAlignment="1">
      <alignment horizontal="center" vertical="center" wrapText="1"/>
    </xf>
    <xf numFmtId="0" fontId="112" fillId="0" borderId="28" xfId="12" applyFont="1" applyFill="1" applyBorder="1" applyAlignment="1">
      <alignment horizontal="center" vertical="center" wrapText="1"/>
    </xf>
    <xf numFmtId="0" fontId="112" fillId="0" borderId="29" xfId="12" applyFont="1" applyFill="1" applyBorder="1" applyAlignment="1">
      <alignment horizontal="center" vertical="center" wrapText="1"/>
    </xf>
    <xf numFmtId="0" fontId="112" fillId="0" borderId="46" xfId="12" applyFont="1" applyFill="1" applyBorder="1" applyAlignment="1">
      <alignment horizontal="center" vertical="center" wrapText="1"/>
    </xf>
    <xf numFmtId="0" fontId="112" fillId="0" borderId="54" xfId="12" applyFont="1" applyFill="1" applyBorder="1" applyAlignment="1">
      <alignment horizontal="center" vertical="center" wrapText="1"/>
    </xf>
    <xf numFmtId="0" fontId="112" fillId="0" borderId="55" xfId="12" applyFont="1" applyFill="1" applyBorder="1" applyAlignment="1">
      <alignment horizontal="center" vertical="center" wrapText="1"/>
    </xf>
    <xf numFmtId="0" fontId="112" fillId="0" borderId="9" xfId="12" applyFont="1" applyFill="1" applyBorder="1" applyAlignment="1">
      <alignment horizontal="center" vertical="center"/>
    </xf>
    <xf numFmtId="0" fontId="112" fillId="0" borderId="10" xfId="12" applyFont="1" applyFill="1" applyBorder="1" applyAlignment="1">
      <alignment horizontal="center" vertical="center"/>
    </xf>
    <xf numFmtId="0" fontId="112" fillId="0" borderId="17" xfId="12" applyFont="1" applyFill="1" applyBorder="1" applyAlignment="1">
      <alignment horizontal="center" vertical="center"/>
    </xf>
    <xf numFmtId="0" fontId="112" fillId="0" borderId="9" xfId="42" applyFont="1" applyFill="1" applyBorder="1" applyAlignment="1">
      <alignment horizontal="center" vertical="center"/>
    </xf>
    <xf numFmtId="0" fontId="112" fillId="0" borderId="10" xfId="42" applyFont="1" applyFill="1" applyBorder="1" applyAlignment="1">
      <alignment horizontal="center" vertical="center"/>
    </xf>
    <xf numFmtId="0" fontId="112" fillId="0" borderId="17" xfId="42" applyFont="1" applyFill="1" applyBorder="1" applyAlignment="1">
      <alignment horizontal="center" vertical="center"/>
    </xf>
    <xf numFmtId="0" fontId="112" fillId="4" borderId="9" xfId="42" applyFont="1" applyFill="1" applyBorder="1" applyAlignment="1">
      <alignment horizontal="center" vertical="center"/>
    </xf>
    <xf numFmtId="0" fontId="112" fillId="4" borderId="10" xfId="42" applyFont="1" applyFill="1" applyBorder="1" applyAlignment="1">
      <alignment horizontal="center" vertical="center"/>
    </xf>
    <xf numFmtId="0" fontId="112" fillId="4" borderId="17" xfId="42" applyFont="1" applyFill="1" applyBorder="1" applyAlignment="1">
      <alignment horizontal="center" vertical="center"/>
    </xf>
    <xf numFmtId="0" fontId="111" fillId="4" borderId="51" xfId="12" applyFont="1" applyFill="1" applyBorder="1" applyAlignment="1">
      <alignment horizontal="left" vertical="center" wrapText="1"/>
    </xf>
    <xf numFmtId="0" fontId="111" fillId="4" borderId="52" xfId="12" applyFont="1" applyFill="1" applyBorder="1" applyAlignment="1">
      <alignment horizontal="left" vertical="center" wrapText="1"/>
    </xf>
    <xf numFmtId="0" fontId="161" fillId="4" borderId="0" xfId="42" applyFont="1" applyFill="1" applyBorder="1" applyAlignment="1">
      <alignment horizontal="left" vertical="center" wrapText="1"/>
    </xf>
    <xf numFmtId="0" fontId="111" fillId="0" borderId="36" xfId="42" applyFont="1" applyBorder="1" applyAlignment="1">
      <alignment horizontal="center" vertical="center"/>
    </xf>
    <xf numFmtId="0" fontId="111" fillId="0" borderId="10" xfId="42" applyFont="1" applyBorder="1" applyAlignment="1">
      <alignment horizontal="center" vertical="center"/>
    </xf>
    <xf numFmtId="0" fontId="111" fillId="0" borderId="58" xfId="42" applyFont="1" applyBorder="1" applyAlignment="1">
      <alignment horizontal="center" vertical="center"/>
    </xf>
    <xf numFmtId="0" fontId="111" fillId="0" borderId="92" xfId="42" quotePrefix="1" applyFont="1" applyFill="1" applyBorder="1" applyAlignment="1">
      <alignment horizontal="center" vertical="center"/>
    </xf>
    <xf numFmtId="0" fontId="111" fillId="0" borderId="54" xfId="42" quotePrefix="1" applyFont="1" applyFill="1" applyBorder="1" applyAlignment="1">
      <alignment horizontal="center" vertical="center"/>
    </xf>
    <xf numFmtId="0" fontId="111" fillId="0" borderId="55" xfId="42" quotePrefix="1" applyFont="1" applyFill="1" applyBorder="1" applyAlignment="1">
      <alignment horizontal="center" vertical="center"/>
    </xf>
    <xf numFmtId="49" fontId="111" fillId="9" borderId="5" xfId="42" applyNumberFormat="1" applyFont="1" applyFill="1" applyBorder="1" applyAlignment="1">
      <alignment horizontal="center" vertical="top"/>
    </xf>
    <xf numFmtId="0" fontId="111" fillId="0" borderId="17" xfId="42" applyFont="1" applyBorder="1" applyAlignment="1">
      <alignment horizontal="center" vertical="center"/>
    </xf>
    <xf numFmtId="0" fontId="112" fillId="4" borderId="18" xfId="42" applyFont="1" applyFill="1" applyBorder="1" applyAlignment="1">
      <alignment horizontal="center" vertical="center"/>
    </xf>
    <xf numFmtId="0" fontId="112" fillId="4" borderId="19" xfId="42" applyFont="1" applyFill="1" applyBorder="1" applyAlignment="1">
      <alignment horizontal="center" vertical="center"/>
    </xf>
    <xf numFmtId="0" fontId="112" fillId="9" borderId="49" xfId="42" applyFont="1" applyFill="1" applyBorder="1" applyAlignment="1">
      <alignment horizontal="center" vertical="center" wrapText="1"/>
    </xf>
    <xf numFmtId="0" fontId="112" fillId="9" borderId="53" xfId="42" applyFont="1" applyFill="1" applyBorder="1" applyAlignment="1">
      <alignment horizontal="center" vertical="center" wrapText="1"/>
    </xf>
    <xf numFmtId="0" fontId="112" fillId="9" borderId="66" xfId="42" applyFont="1" applyFill="1" applyBorder="1" applyAlignment="1">
      <alignment horizontal="center" vertical="center" wrapText="1"/>
    </xf>
    <xf numFmtId="0" fontId="112" fillId="9" borderId="21" xfId="42" applyFont="1" applyFill="1" applyBorder="1" applyAlignment="1">
      <alignment horizontal="center" vertical="center" wrapText="1"/>
    </xf>
    <xf numFmtId="0" fontId="112" fillId="9" borderId="0" xfId="42" applyFont="1" applyFill="1" applyBorder="1" applyAlignment="1">
      <alignment horizontal="center" vertical="center" wrapText="1"/>
    </xf>
    <xf numFmtId="0" fontId="112" fillId="9" borderId="22" xfId="42" applyFont="1" applyFill="1" applyBorder="1" applyAlignment="1">
      <alignment horizontal="center" vertical="center" wrapText="1"/>
    </xf>
    <xf numFmtId="0" fontId="112" fillId="0" borderId="49" xfId="42" applyFont="1" applyFill="1" applyBorder="1" applyAlignment="1">
      <alignment horizontal="center" vertical="center"/>
    </xf>
    <xf numFmtId="0" fontId="112" fillId="0" borderId="53" xfId="42" applyFont="1" applyFill="1" applyBorder="1" applyAlignment="1">
      <alignment horizontal="center" vertical="center"/>
    </xf>
    <xf numFmtId="0" fontId="112" fillId="0" borderId="79" xfId="42" applyFont="1" applyFill="1" applyBorder="1" applyAlignment="1">
      <alignment horizontal="center" vertical="center"/>
    </xf>
    <xf numFmtId="0" fontId="112" fillId="0" borderId="82" xfId="42" applyFont="1" applyFill="1" applyBorder="1" applyAlignment="1">
      <alignment horizontal="center" vertical="center"/>
    </xf>
    <xf numFmtId="0" fontId="111" fillId="0" borderId="60" xfId="42" applyFont="1" applyBorder="1" applyAlignment="1">
      <alignment horizontal="center" vertical="center"/>
    </xf>
    <xf numFmtId="0" fontId="111" fillId="0" borderId="40" xfId="42" applyFont="1" applyBorder="1" applyAlignment="1">
      <alignment horizontal="center" vertical="center"/>
    </xf>
    <xf numFmtId="0" fontId="111" fillId="0" borderId="88" xfId="42" applyFont="1" applyBorder="1" applyAlignment="1">
      <alignment horizontal="center" vertical="center"/>
    </xf>
    <xf numFmtId="0" fontId="111" fillId="0" borderId="60" xfId="42" quotePrefix="1" applyFont="1" applyFill="1" applyBorder="1" applyAlignment="1">
      <alignment horizontal="center" vertical="center"/>
    </xf>
    <xf numFmtId="0" fontId="111" fillId="0" borderId="40" xfId="42" applyFont="1" applyFill="1" applyBorder="1" applyAlignment="1">
      <alignment horizontal="center" vertical="center"/>
    </xf>
    <xf numFmtId="0" fontId="111" fillId="0" borderId="61" xfId="42" applyFont="1" applyFill="1" applyBorder="1" applyAlignment="1">
      <alignment horizontal="center" vertical="center"/>
    </xf>
    <xf numFmtId="0" fontId="111" fillId="0" borderId="57" xfId="42" applyFont="1" applyFill="1" applyBorder="1" applyAlignment="1">
      <alignment horizontal="center" vertical="center"/>
    </xf>
    <xf numFmtId="0" fontId="111" fillId="4" borderId="42" xfId="42" quotePrefix="1" applyFont="1" applyFill="1" applyBorder="1" applyAlignment="1">
      <alignment horizontal="center" vertical="center"/>
    </xf>
    <xf numFmtId="0" fontId="111" fillId="4" borderId="28" xfId="42" quotePrefix="1" applyFont="1" applyFill="1" applyBorder="1" applyAlignment="1">
      <alignment horizontal="center" vertical="center"/>
    </xf>
    <xf numFmtId="0" fontId="111" fillId="4" borderId="29" xfId="42" quotePrefix="1" applyFont="1" applyFill="1" applyBorder="1" applyAlignment="1">
      <alignment horizontal="center" vertical="center"/>
    </xf>
    <xf numFmtId="164" fontId="111" fillId="4" borderId="5" xfId="2" applyFont="1" applyFill="1" applyBorder="1" applyAlignment="1">
      <alignment vertical="center"/>
    </xf>
    <xf numFmtId="0" fontId="127" fillId="2" borderId="56" xfId="12" applyFont="1" applyFill="1" applyBorder="1" applyAlignment="1">
      <alignment horizontal="center" vertical="center"/>
    </xf>
    <xf numFmtId="0" fontId="127" fillId="2" borderId="34" xfId="12" applyFont="1" applyFill="1" applyBorder="1" applyAlignment="1">
      <alignment horizontal="center" vertical="center"/>
    </xf>
    <xf numFmtId="0" fontId="127" fillId="2" borderId="68" xfId="12" applyFont="1" applyFill="1" applyBorder="1" applyAlignment="1">
      <alignment horizontal="center" vertical="center"/>
    </xf>
    <xf numFmtId="0" fontId="152"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185" fontId="181" fillId="10" borderId="5" xfId="62" applyFont="1" applyFill="1" applyBorder="1" applyAlignment="1">
      <alignment horizontal="center" vertical="center" wrapText="1"/>
    </xf>
    <xf numFmtId="185" fontId="182" fillId="10" borderId="5" xfId="62" applyFont="1" applyFill="1" applyBorder="1" applyAlignment="1">
      <alignment horizontal="center" vertical="top" wrapText="1"/>
    </xf>
    <xf numFmtId="185" fontId="182" fillId="31" borderId="5" xfId="62" applyFont="1" applyFill="1" applyBorder="1" applyAlignment="1">
      <alignment horizontal="center" vertical="top" wrapText="1"/>
    </xf>
    <xf numFmtId="0" fontId="177" fillId="29" borderId="5" xfId="42" applyNumberFormat="1" applyFont="1" applyFill="1" applyBorder="1" applyAlignment="1" applyProtection="1">
      <alignment horizontal="center" vertical="center"/>
    </xf>
    <xf numFmtId="0" fontId="176" fillId="29" borderId="5" xfId="42" applyNumberFormat="1" applyFont="1" applyFill="1" applyBorder="1" applyAlignment="1" applyProtection="1">
      <alignment horizontal="center"/>
    </xf>
    <xf numFmtId="0" fontId="177" fillId="29" borderId="5" xfId="42" applyNumberFormat="1" applyFont="1" applyFill="1" applyBorder="1" applyAlignment="1" applyProtection="1">
      <alignment horizontal="center"/>
    </xf>
    <xf numFmtId="0" fontId="178" fillId="30" borderId="5" xfId="42" applyFont="1" applyFill="1" applyBorder="1" applyAlignment="1">
      <alignment horizontal="center" vertical="top" wrapText="1"/>
    </xf>
    <xf numFmtId="185" fontId="181" fillId="10" borderId="5" xfId="62" applyFont="1" applyFill="1" applyBorder="1" applyAlignment="1">
      <alignment horizontal="left" vertical="center" wrapText="1"/>
    </xf>
    <xf numFmtId="0" fontId="179" fillId="29" borderId="5" xfId="42" applyNumberFormat="1" applyFont="1" applyFill="1" applyBorder="1" applyAlignment="1" applyProtection="1">
      <alignment horizontal="center" vertical="center"/>
    </xf>
    <xf numFmtId="0" fontId="179" fillId="29" borderId="5" xfId="42" applyNumberFormat="1" applyFont="1" applyFill="1" applyBorder="1" applyAlignment="1" applyProtection="1">
      <alignment horizontal="center" vertical="center"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0" fontId="60" fillId="0" borderId="0" xfId="19" applyFont="1" applyAlignment="1">
      <alignment horizontal="center"/>
    </xf>
    <xf numFmtId="49" fontId="61" fillId="0" borderId="0" xfId="19" applyNumberFormat="1" applyFont="1" applyAlignment="1">
      <alignment horizontal="center"/>
    </xf>
    <xf numFmtId="0" fontId="61" fillId="0" borderId="0" xfId="19" applyFont="1" applyAlignment="1">
      <alignment horizontal="center"/>
    </xf>
    <xf numFmtId="49" fontId="79" fillId="0" borderId="0" xfId="19" applyNumberFormat="1" applyFont="1" applyAlignment="1">
      <alignment horizontal="center"/>
    </xf>
    <xf numFmtId="0" fontId="79" fillId="0" borderId="0" xfId="19" applyFont="1" applyAlignment="1">
      <alignment horizontal="center"/>
    </xf>
    <xf numFmtId="0" fontId="14" fillId="0" borderId="9" xfId="14" applyBorder="1" applyAlignment="1">
      <alignment horizontal="center"/>
    </xf>
    <xf numFmtId="0" fontId="14" fillId="0" borderId="10" xfId="14" applyBorder="1" applyAlignment="1">
      <alignment horizontal="center"/>
    </xf>
    <xf numFmtId="0" fontId="14" fillId="0" borderId="17" xfId="14" applyBorder="1" applyAlignment="1">
      <alignment horizontal="center"/>
    </xf>
    <xf numFmtId="14" fontId="143" fillId="0" borderId="0" xfId="58" applyNumberFormat="1" applyFont="1" applyAlignment="1">
      <alignment horizontal="left" vertical="center" wrapText="1"/>
    </xf>
    <xf numFmtId="167" fontId="143" fillId="4" borderId="0" xfId="58" applyNumberFormat="1" applyFont="1" applyFill="1" applyAlignment="1">
      <alignment horizontal="left"/>
    </xf>
    <xf numFmtId="167" fontId="143" fillId="4" borderId="0" xfId="58" applyNumberFormat="1" applyFont="1" applyFill="1" applyAlignment="1">
      <alignment horizontal="left" vertical="center"/>
    </xf>
    <xf numFmtId="171" fontId="143" fillId="0" borderId="0" xfId="58" applyNumberFormat="1" applyFont="1" applyAlignment="1">
      <alignment horizontal="left"/>
    </xf>
    <xf numFmtId="0" fontId="14" fillId="0" borderId="0" xfId="14" applyBorder="1" applyAlignment="1">
      <alignment horizontal="center" vertical="center" wrapText="1"/>
    </xf>
    <xf numFmtId="0" fontId="14" fillId="0" borderId="9" xfId="14" applyBorder="1" applyAlignment="1">
      <alignment horizontal="center" vertical="center"/>
    </xf>
    <xf numFmtId="0" fontId="14" fillId="0" borderId="10" xfId="14" applyBorder="1" applyAlignment="1">
      <alignment horizontal="center" vertical="center"/>
    </xf>
    <xf numFmtId="0" fontId="14" fillId="0" borderId="17" xfId="14" applyBorder="1" applyAlignment="1">
      <alignment horizontal="center" vertical="center"/>
    </xf>
    <xf numFmtId="0" fontId="55" fillId="0" borderId="54" xfId="14" applyFont="1" applyBorder="1" applyAlignment="1">
      <alignment horizontal="center"/>
    </xf>
    <xf numFmtId="0" fontId="55" fillId="0" borderId="0" xfId="14" applyFont="1" applyBorder="1" applyAlignment="1">
      <alignment horizontal="center"/>
    </xf>
    <xf numFmtId="4" fontId="21" fillId="0" borderId="9" xfId="14" applyNumberFormat="1" applyFont="1" applyBorder="1" applyAlignment="1">
      <alignment horizontal="right" vertical="center"/>
    </xf>
    <xf numFmtId="4" fontId="21" fillId="0" borderId="10" xfId="14" applyNumberFormat="1" applyFont="1" applyBorder="1" applyAlignment="1">
      <alignment horizontal="right" vertical="center"/>
    </xf>
    <xf numFmtId="4" fontId="21" fillId="0" borderId="17" xfId="14" applyNumberFormat="1" applyFont="1" applyBorder="1" applyAlignment="1">
      <alignment horizontal="right" vertical="center"/>
    </xf>
    <xf numFmtId="0" fontId="13" fillId="6" borderId="9" xfId="14" applyFont="1" applyFill="1" applyBorder="1" applyAlignment="1">
      <alignment horizontal="center"/>
    </xf>
    <xf numFmtId="0" fontId="13" fillId="6" borderId="10" xfId="14" applyFont="1" applyFill="1" applyBorder="1" applyAlignment="1">
      <alignment horizontal="center"/>
    </xf>
    <xf numFmtId="0" fontId="13" fillId="6" borderId="17" xfId="14" applyFont="1" applyFill="1" applyBorder="1" applyAlignment="1">
      <alignment horizontal="center"/>
    </xf>
    <xf numFmtId="0" fontId="187" fillId="32" borderId="60" xfId="0" applyFont="1" applyFill="1" applyBorder="1" applyAlignment="1">
      <alignment horizontal="center" vertical="center"/>
    </xf>
    <xf numFmtId="0" fontId="187" fillId="32" borderId="88" xfId="0" applyFont="1" applyFill="1" applyBorder="1" applyAlignment="1">
      <alignment horizontal="center" vertical="center"/>
    </xf>
    <xf numFmtId="0" fontId="13" fillId="6" borderId="5" xfId="14" applyFont="1" applyFill="1" applyBorder="1" applyAlignment="1">
      <alignment horizontal="center" vertical="center"/>
    </xf>
    <xf numFmtId="0" fontId="41" fillId="0" borderId="36" xfId="12" applyNumberFormat="1" applyFont="1" applyBorder="1" applyAlignment="1">
      <alignment horizontal="left"/>
    </xf>
    <xf numFmtId="0" fontId="41" fillId="0" borderId="10" xfId="12" applyNumberFormat="1" applyFont="1" applyBorder="1" applyAlignment="1">
      <alignment horizontal="left"/>
    </xf>
    <xf numFmtId="0" fontId="41" fillId="0" borderId="17" xfId="12" applyNumberFormat="1" applyFont="1" applyBorder="1" applyAlignment="1">
      <alignment horizontal="left"/>
    </xf>
    <xf numFmtId="4" fontId="41" fillId="0" borderId="82" xfId="12" applyNumberFormat="1" applyFont="1" applyFill="1" applyBorder="1" applyAlignment="1">
      <alignment horizontal="center" vertical="center"/>
    </xf>
    <xf numFmtId="4" fontId="41" fillId="0" borderId="43" xfId="12" applyNumberFormat="1" applyFont="1" applyFill="1" applyBorder="1" applyAlignment="1">
      <alignment horizontal="center" vertical="center"/>
    </xf>
    <xf numFmtId="0" fontId="21" fillId="5" borderId="2" xfId="12" applyFont="1" applyFill="1" applyBorder="1" applyAlignment="1">
      <alignment horizontal="center" vertical="center"/>
    </xf>
    <xf numFmtId="0" fontId="21" fillId="5" borderId="3" xfId="12" applyFont="1" applyFill="1" applyBorder="1" applyAlignment="1">
      <alignment horizontal="center" vertical="center"/>
    </xf>
    <xf numFmtId="0" fontId="21" fillId="5" borderId="5" xfId="12" applyFont="1" applyFill="1" applyBorder="1" applyAlignment="1">
      <alignment horizontal="center" vertical="center"/>
    </xf>
    <xf numFmtId="0" fontId="21" fillId="5" borderId="6" xfId="12" applyFont="1" applyFill="1" applyBorder="1" applyAlignment="1">
      <alignment horizontal="center" vertical="center"/>
    </xf>
    <xf numFmtId="0" fontId="21" fillId="5" borderId="8" xfId="12" applyFont="1" applyFill="1" applyBorder="1" applyAlignment="1">
      <alignment horizontal="center" vertical="center"/>
    </xf>
    <xf numFmtId="0" fontId="21" fillId="5" borderId="35" xfId="12" applyFont="1" applyFill="1" applyBorder="1" applyAlignment="1">
      <alignment horizontal="center" vertical="center"/>
    </xf>
    <xf numFmtId="10" fontId="14" fillId="0" borderId="3" xfId="29" applyNumberFormat="1" applyFont="1" applyFill="1" applyBorder="1" applyAlignment="1">
      <alignment horizontal="center" vertical="center"/>
    </xf>
    <xf numFmtId="10" fontId="14" fillId="0" borderId="6" xfId="29" applyNumberFormat="1" applyFont="1" applyFill="1" applyBorder="1" applyAlignment="1">
      <alignment horizontal="center" vertical="center"/>
    </xf>
    <xf numFmtId="4" fontId="41" fillId="0" borderId="78" xfId="12"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0" fontId="41" fillId="0" borderId="37" xfId="12" applyNumberFormat="1" applyFont="1" applyBorder="1" applyAlignment="1">
      <alignment horizontal="left"/>
    </xf>
    <xf numFmtId="0" fontId="41" fillId="0" borderId="41" xfId="12" applyNumberFormat="1" applyFont="1" applyBorder="1" applyAlignment="1">
      <alignment horizontal="left"/>
    </xf>
    <xf numFmtId="0" fontId="41" fillId="0" borderId="62" xfId="12" applyNumberFormat="1" applyFont="1" applyBorder="1" applyAlignment="1">
      <alignment horizontal="left"/>
    </xf>
    <xf numFmtId="0" fontId="41" fillId="0" borderId="9" xfId="12" applyFont="1" applyBorder="1" applyAlignment="1">
      <alignment horizontal="left"/>
    </xf>
    <xf numFmtId="0" fontId="138" fillId="0" borderId="17" xfId="12" applyFont="1" applyBorder="1" applyAlignment="1">
      <alignment horizontal="left"/>
    </xf>
    <xf numFmtId="0" fontId="21" fillId="0" borderId="14" xfId="12" applyNumberFormat="1" applyFont="1" applyBorder="1" applyAlignment="1">
      <alignment horizontal="left"/>
    </xf>
    <xf numFmtId="0" fontId="21" fillId="0" borderId="15" xfId="12" applyNumberFormat="1" applyFont="1" applyBorder="1" applyAlignment="1">
      <alignment horizontal="left"/>
    </xf>
    <xf numFmtId="0" fontId="139" fillId="0" borderId="5" xfId="12" applyFont="1" applyFill="1" applyBorder="1" applyAlignment="1">
      <alignment horizontal="left" vertical="center"/>
    </xf>
    <xf numFmtId="0" fontId="41" fillId="0" borderId="13" xfId="12" applyFont="1" applyFill="1" applyBorder="1" applyAlignment="1">
      <alignment horizontal="left" vertical="center"/>
    </xf>
    <xf numFmtId="0" fontId="21" fillId="0" borderId="4" xfId="12" applyNumberFormat="1" applyFont="1" applyBorder="1" applyAlignment="1">
      <alignment horizontal="left"/>
    </xf>
    <xf numFmtId="0" fontId="21" fillId="0" borderId="5" xfId="12" applyNumberFormat="1" applyFont="1" applyBorder="1" applyAlignment="1">
      <alignment horizontal="left"/>
    </xf>
    <xf numFmtId="0" fontId="136" fillId="0" borderId="36" xfId="12" applyNumberFormat="1" applyFont="1" applyBorder="1" applyAlignment="1">
      <alignment horizontal="left"/>
    </xf>
    <xf numFmtId="0" fontId="136" fillId="0" borderId="10" xfId="12" applyNumberFormat="1" applyFont="1" applyBorder="1" applyAlignment="1">
      <alignment horizontal="left"/>
    </xf>
    <xf numFmtId="0" fontId="136" fillId="0" borderId="17" xfId="12" applyNumberFormat="1" applyFont="1" applyBorder="1" applyAlignment="1">
      <alignment horizontal="left"/>
    </xf>
    <xf numFmtId="14" fontId="25" fillId="0" borderId="0" xfId="12" applyNumberFormat="1" applyFont="1" applyAlignment="1">
      <alignment horizontal="left" vertical="center" wrapText="1"/>
    </xf>
    <xf numFmtId="0" fontId="21" fillId="5" borderId="1" xfId="12" applyFont="1" applyFill="1" applyBorder="1" applyAlignment="1">
      <alignment horizontal="center" vertical="center"/>
    </xf>
    <xf numFmtId="0" fontId="21" fillId="5" borderId="4" xfId="12" applyFont="1" applyFill="1" applyBorder="1" applyAlignment="1">
      <alignment horizontal="center" vertical="center"/>
    </xf>
    <xf numFmtId="0" fontId="21" fillId="5" borderId="7" xfId="12" applyFont="1" applyFill="1" applyBorder="1" applyAlignment="1">
      <alignment horizontal="center" vertical="center"/>
    </xf>
    <xf numFmtId="0" fontId="21" fillId="5" borderId="2" xfId="12" applyFont="1" applyFill="1" applyBorder="1" applyAlignment="1">
      <alignment horizontal="center"/>
    </xf>
    <xf numFmtId="0" fontId="21" fillId="5" borderId="5" xfId="12" applyFont="1" applyFill="1" applyBorder="1" applyAlignment="1">
      <alignment horizontal="center"/>
    </xf>
    <xf numFmtId="0" fontId="21" fillId="5" borderId="25" xfId="12" applyFont="1" applyFill="1" applyBorder="1" applyAlignment="1">
      <alignment horizontal="center" vertical="center" wrapText="1"/>
    </xf>
    <xf numFmtId="0" fontId="21" fillId="5" borderId="67" xfId="12" applyFont="1" applyFill="1" applyBorder="1" applyAlignment="1">
      <alignment horizontal="center" vertical="center" wrapText="1"/>
    </xf>
    <xf numFmtId="0" fontId="21" fillId="5" borderId="5" xfId="12" applyFont="1" applyFill="1" applyBorder="1" applyAlignment="1">
      <alignment horizontal="center" vertical="center" wrapText="1"/>
    </xf>
    <xf numFmtId="0" fontId="21" fillId="5" borderId="8" xfId="12" applyFont="1" applyFill="1" applyBorder="1" applyAlignment="1">
      <alignment horizontal="center" vertical="center" wrapText="1"/>
    </xf>
    <xf numFmtId="10" fontId="21" fillId="5" borderId="18" xfId="12" applyNumberFormat="1" applyFont="1" applyFill="1" applyBorder="1" applyAlignment="1">
      <alignment horizontal="center"/>
    </xf>
    <xf numFmtId="10" fontId="21" fillId="5" borderId="20" xfId="12" applyNumberFormat="1" applyFont="1" applyFill="1" applyBorder="1" applyAlignment="1">
      <alignment horizontal="center"/>
    </xf>
    <xf numFmtId="0" fontId="21" fillId="5" borderId="16" xfId="12" applyNumberFormat="1" applyFont="1" applyFill="1" applyBorder="1" applyAlignment="1">
      <alignment horizontal="left"/>
    </xf>
    <xf numFmtId="0" fontId="41" fillId="0" borderId="25" xfId="12" applyFont="1" applyFill="1" applyBorder="1" applyAlignment="1">
      <alignment horizontal="left" vertical="center"/>
    </xf>
    <xf numFmtId="0" fontId="21" fillId="5" borderId="18" xfId="12" applyNumberFormat="1" applyFont="1" applyFill="1" applyBorder="1" applyAlignment="1">
      <alignment horizontal="left"/>
    </xf>
    <xf numFmtId="0" fontId="21" fillId="5" borderId="19" xfId="12" applyNumberFormat="1" applyFont="1" applyFill="1" applyBorder="1" applyAlignment="1">
      <alignment horizontal="left"/>
    </xf>
    <xf numFmtId="0" fontId="21" fillId="5" borderId="20" xfId="12" applyNumberFormat="1" applyFont="1" applyFill="1" applyBorder="1" applyAlignment="1">
      <alignment horizontal="left"/>
    </xf>
    <xf numFmtId="10" fontId="41" fillId="0" borderId="78" xfId="29"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49" fontId="41" fillId="0" borderId="82" xfId="12" applyNumberFormat="1" applyFont="1" applyFill="1" applyBorder="1" applyAlignment="1">
      <alignment horizontal="left" vertical="center" wrapText="1"/>
    </xf>
    <xf numFmtId="49" fontId="41" fillId="0" borderId="79" xfId="12" applyNumberFormat="1" applyFont="1" applyFill="1" applyBorder="1" applyAlignment="1">
      <alignment horizontal="left" vertical="center" wrapText="1"/>
    </xf>
    <xf numFmtId="49" fontId="41" fillId="0" borderId="46" xfId="12" applyNumberFormat="1" applyFont="1" applyFill="1" applyBorder="1" applyAlignment="1">
      <alignment horizontal="left" vertical="center" wrapText="1"/>
    </xf>
    <xf numFmtId="49" fontId="41" fillId="0" borderId="55" xfId="12" applyNumberFormat="1" applyFont="1" applyFill="1" applyBorder="1" applyAlignment="1">
      <alignment horizontal="left" vertical="center" wrapText="1"/>
    </xf>
    <xf numFmtId="0" fontId="41" fillId="0" borderId="77" xfId="12" applyFont="1" applyFill="1" applyBorder="1" applyAlignment="1">
      <alignment horizontal="center" vertical="center"/>
    </xf>
    <xf numFmtId="0" fontId="41" fillId="0" borderId="47" xfId="12" applyFont="1" applyFill="1" applyBorder="1" applyAlignment="1">
      <alignment horizontal="center" vertical="center"/>
    </xf>
    <xf numFmtId="0" fontId="119" fillId="17" borderId="0" xfId="0" applyFont="1" applyFill="1" applyAlignment="1">
      <alignment horizontal="center"/>
    </xf>
    <xf numFmtId="0" fontId="118" fillId="17" borderId="0" xfId="0" applyFont="1" applyFill="1" applyAlignment="1">
      <alignment horizontal="center"/>
    </xf>
    <xf numFmtId="0" fontId="98" fillId="4" borderId="51" xfId="0" applyFont="1" applyFill="1" applyBorder="1" applyAlignment="1">
      <alignment horizontal="center"/>
    </xf>
    <xf numFmtId="0" fontId="127" fillId="0" borderId="18" xfId="12" applyFont="1" applyBorder="1" applyAlignment="1">
      <alignment horizontal="center"/>
    </xf>
    <xf numFmtId="0" fontId="127" fillId="0" borderId="19" xfId="12" applyFont="1" applyBorder="1" applyAlignment="1">
      <alignment horizontal="center"/>
    </xf>
    <xf numFmtId="0" fontId="127" fillId="0" borderId="20" xfId="12" applyFont="1" applyBorder="1" applyAlignment="1">
      <alignment horizontal="center"/>
    </xf>
    <xf numFmtId="0" fontId="21" fillId="4" borderId="9" xfId="12" applyNumberFormat="1" applyFont="1" applyFill="1" applyBorder="1" applyAlignment="1">
      <alignment horizontal="center"/>
    </xf>
    <xf numFmtId="0" fontId="21" fillId="4" borderId="10" xfId="12" applyNumberFormat="1" applyFont="1" applyFill="1" applyBorder="1" applyAlignment="1">
      <alignment horizontal="center"/>
    </xf>
    <xf numFmtId="0" fontId="21" fillId="4" borderId="17" xfId="12" applyNumberFormat="1" applyFont="1" applyFill="1" applyBorder="1" applyAlignment="1">
      <alignment horizontal="center"/>
    </xf>
    <xf numFmtId="0" fontId="40" fillId="2" borderId="56" xfId="12" applyFont="1" applyFill="1" applyBorder="1" applyAlignment="1">
      <alignment horizontal="center" vertical="center"/>
    </xf>
    <xf numFmtId="0" fontId="40" fillId="2" borderId="68" xfId="12" applyFont="1" applyFill="1" applyBorder="1" applyAlignment="1">
      <alignment horizontal="center" vertical="center"/>
    </xf>
    <xf numFmtId="0" fontId="127" fillId="28" borderId="56" xfId="12" applyFont="1" applyFill="1" applyBorder="1" applyAlignment="1">
      <alignment horizontal="center" vertical="center"/>
    </xf>
    <xf numFmtId="0" fontId="127" fillId="28" borderId="68" xfId="12" applyFont="1" applyFill="1" applyBorder="1" applyAlignment="1">
      <alignment horizontal="center" vertical="center"/>
    </xf>
    <xf numFmtId="0" fontId="127" fillId="2" borderId="49" xfId="12" applyFont="1" applyFill="1" applyBorder="1" applyAlignment="1">
      <alignment horizontal="center" vertical="center"/>
    </xf>
    <xf numFmtId="0" fontId="127" fillId="2" borderId="53" xfId="12" applyFont="1" applyFill="1" applyBorder="1" applyAlignment="1">
      <alignment horizontal="center" vertical="center"/>
    </xf>
    <xf numFmtId="0" fontId="127" fillId="2" borderId="66" xfId="12" applyFont="1" applyFill="1" applyBorder="1" applyAlignment="1">
      <alignment horizontal="center" vertical="center"/>
    </xf>
    <xf numFmtId="0" fontId="127" fillId="2" borderId="50" xfId="12" applyFont="1" applyFill="1" applyBorder="1" applyAlignment="1">
      <alignment horizontal="center" vertical="center"/>
    </xf>
    <xf numFmtId="0" fontId="127" fillId="2" borderId="51" xfId="12" applyFont="1" applyFill="1" applyBorder="1" applyAlignment="1">
      <alignment horizontal="center" vertical="center"/>
    </xf>
    <xf numFmtId="0" fontId="127" fillId="2" borderId="52" xfId="12" applyFont="1" applyFill="1" applyBorder="1" applyAlignment="1">
      <alignment horizontal="center" vertical="center"/>
    </xf>
    <xf numFmtId="0" fontId="127" fillId="2" borderId="18" xfId="12" applyFont="1" applyFill="1" applyBorder="1" applyAlignment="1">
      <alignment horizontal="center"/>
    </xf>
    <xf numFmtId="0" fontId="127" fillId="2" borderId="20" xfId="12" applyFont="1" applyFill="1" applyBorder="1" applyAlignment="1">
      <alignment horizontal="center"/>
    </xf>
    <xf numFmtId="0" fontId="127" fillId="2" borderId="19" xfId="12" applyFont="1" applyFill="1" applyBorder="1" applyAlignment="1">
      <alignment horizontal="center"/>
    </xf>
    <xf numFmtId="0" fontId="127" fillId="7" borderId="56" xfId="12" applyFont="1" applyFill="1" applyBorder="1" applyAlignment="1">
      <alignment horizontal="center" vertical="center"/>
    </xf>
    <xf numFmtId="0" fontId="127" fillId="7" borderId="68" xfId="12" applyFont="1" applyFill="1" applyBorder="1" applyAlignment="1">
      <alignment horizontal="center" vertical="center"/>
    </xf>
    <xf numFmtId="0" fontId="127" fillId="7" borderId="56" xfId="12" applyFont="1" applyFill="1" applyBorder="1" applyAlignment="1">
      <alignment horizontal="center" vertical="center" wrapText="1"/>
    </xf>
    <xf numFmtId="0" fontId="127" fillId="7" borderId="68" xfId="12" applyFont="1" applyFill="1" applyBorder="1" applyAlignment="1">
      <alignment horizontal="center" vertical="center" wrapText="1"/>
    </xf>
    <xf numFmtId="0" fontId="127" fillId="2" borderId="56" xfId="12" applyFont="1" applyFill="1" applyBorder="1" applyAlignment="1">
      <alignment horizontal="distributed" vertical="center"/>
    </xf>
    <xf numFmtId="0" fontId="127" fillId="2" borderId="68" xfId="12" applyFont="1" applyFill="1" applyBorder="1" applyAlignment="1">
      <alignment horizontal="distributed" vertical="center"/>
    </xf>
    <xf numFmtId="0" fontId="127" fillId="0" borderId="0" xfId="12" applyFont="1" applyAlignment="1">
      <alignment horizontal="center"/>
    </xf>
    <xf numFmtId="14" fontId="40" fillId="0" borderId="0" xfId="12" applyNumberFormat="1" applyFont="1" applyBorder="1" applyAlignment="1">
      <alignment horizontal="left" vertical="center" wrapText="1"/>
    </xf>
    <xf numFmtId="14" fontId="40" fillId="0" borderId="0" xfId="12" applyNumberFormat="1" applyFont="1" applyAlignment="1">
      <alignment horizontal="right" vertical="center"/>
    </xf>
    <xf numFmtId="0" fontId="40" fillId="2" borderId="34" xfId="12" applyFont="1" applyFill="1" applyBorder="1" applyAlignment="1">
      <alignment horizontal="center" vertical="center"/>
    </xf>
    <xf numFmtId="0" fontId="127" fillId="2" borderId="56" xfId="12" applyFont="1" applyFill="1" applyBorder="1" applyAlignment="1">
      <alignment horizontal="center" vertical="center" wrapText="1"/>
    </xf>
    <xf numFmtId="0" fontId="127" fillId="2" borderId="68" xfId="12" applyFont="1" applyFill="1" applyBorder="1" applyAlignment="1">
      <alignment horizontal="center" vertical="center" wrapText="1"/>
    </xf>
    <xf numFmtId="0" fontId="47" fillId="4" borderId="0" xfId="12" applyFont="1" applyFill="1" applyAlignment="1">
      <alignment horizontal="center"/>
    </xf>
    <xf numFmtId="14" fontId="40" fillId="4" borderId="0" xfId="12" applyNumberFormat="1" applyFont="1" applyFill="1" applyAlignment="1">
      <alignment horizontal="left" wrapText="1"/>
    </xf>
    <xf numFmtId="14" fontId="39" fillId="4" borderId="0" xfId="12" applyNumberFormat="1" applyFont="1" applyFill="1" applyAlignment="1">
      <alignment horizontal="right" vertical="center"/>
    </xf>
    <xf numFmtId="0" fontId="127" fillId="22" borderId="19" xfId="12" applyFont="1" applyFill="1" applyBorder="1" applyAlignment="1">
      <alignment horizontal="center"/>
    </xf>
    <xf numFmtId="0" fontId="127" fillId="0" borderId="19" xfId="12" applyFont="1" applyFill="1" applyBorder="1" applyAlignment="1">
      <alignment horizontal="center"/>
    </xf>
    <xf numFmtId="0" fontId="127" fillId="2" borderId="16" xfId="12" applyFont="1" applyFill="1" applyBorder="1" applyAlignment="1">
      <alignment horizontal="center"/>
    </xf>
    <xf numFmtId="0" fontId="127" fillId="22" borderId="0" xfId="12" applyFont="1" applyFill="1" applyAlignment="1">
      <alignment horizontal="center"/>
    </xf>
    <xf numFmtId="0" fontId="127" fillId="0" borderId="0" xfId="12" applyFont="1" applyFill="1" applyAlignment="1">
      <alignment horizontal="center"/>
    </xf>
    <xf numFmtId="14" fontId="127" fillId="0" borderId="18" xfId="12" applyNumberFormat="1" applyFont="1" applyBorder="1" applyAlignment="1">
      <alignment horizontal="left" vertical="center" wrapText="1"/>
    </xf>
    <xf numFmtId="14" fontId="127" fillId="0" borderId="19" xfId="12" applyNumberFormat="1" applyFont="1" applyBorder="1" applyAlignment="1">
      <alignment horizontal="left" vertical="center" wrapText="1"/>
    </xf>
    <xf numFmtId="14" fontId="127" fillId="22" borderId="19" xfId="12" applyNumberFormat="1" applyFont="1" applyFill="1" applyBorder="1" applyAlignment="1">
      <alignment horizontal="left" vertical="center" wrapText="1"/>
    </xf>
    <xf numFmtId="14" fontId="127" fillId="0" borderId="19" xfId="12" applyNumberFormat="1" applyFont="1" applyFill="1" applyBorder="1" applyAlignment="1">
      <alignment horizontal="left" vertical="center" wrapText="1"/>
    </xf>
    <xf numFmtId="14" fontId="127" fillId="0" borderId="20" xfId="12" applyNumberFormat="1" applyFont="1" applyBorder="1" applyAlignment="1">
      <alignment horizontal="left" vertical="center" wrapText="1"/>
    </xf>
    <xf numFmtId="14" fontId="152" fillId="0" borderId="0" xfId="12" applyNumberFormat="1" applyFont="1" applyAlignment="1">
      <alignment horizontal="right" vertical="center"/>
    </xf>
    <xf numFmtId="0" fontId="127" fillId="2" borderId="49" xfId="12" applyFont="1" applyFill="1" applyBorder="1" applyAlignment="1">
      <alignment horizontal="center" vertical="center" wrapText="1"/>
    </xf>
    <xf numFmtId="0" fontId="127" fillId="2" borderId="53" xfId="12" applyFont="1" applyFill="1" applyBorder="1" applyAlignment="1">
      <alignment horizontal="center" vertical="center" wrapText="1"/>
    </xf>
    <xf numFmtId="0" fontId="127" fillId="2" borderId="66" xfId="12" applyFont="1" applyFill="1" applyBorder="1" applyAlignment="1">
      <alignment horizontal="center" vertical="center" wrapText="1"/>
    </xf>
    <xf numFmtId="0" fontId="127" fillId="2" borderId="50" xfId="12" applyFont="1" applyFill="1" applyBorder="1" applyAlignment="1">
      <alignment horizontal="center" vertical="center" wrapText="1"/>
    </xf>
    <xf numFmtId="0" fontId="127" fillId="2" borderId="51" xfId="12" applyFont="1" applyFill="1" applyBorder="1" applyAlignment="1">
      <alignment horizontal="center" vertical="center" wrapText="1"/>
    </xf>
    <xf numFmtId="0" fontId="127" fillId="2" borderId="52" xfId="12" applyFont="1" applyFill="1" applyBorder="1" applyAlignment="1">
      <alignment horizontal="center" vertical="center" wrapText="1"/>
    </xf>
    <xf numFmtId="0" fontId="127" fillId="26" borderId="56" xfId="12" applyFont="1" applyFill="1" applyBorder="1" applyAlignment="1">
      <alignment horizontal="center" vertical="center" wrapText="1"/>
    </xf>
    <xf numFmtId="0" fontId="127" fillId="26" borderId="68" xfId="12" applyFont="1" applyFill="1" applyBorder="1" applyAlignment="1">
      <alignment horizontal="center" vertical="center" wrapText="1"/>
    </xf>
    <xf numFmtId="0" fontId="127" fillId="2" borderId="34" xfId="12" applyFont="1" applyFill="1" applyBorder="1" applyAlignment="1">
      <alignment horizontal="center" vertical="center" wrapText="1"/>
    </xf>
    <xf numFmtId="0" fontId="127" fillId="2" borderId="82" xfId="12" applyFont="1" applyFill="1" applyBorder="1" applyAlignment="1">
      <alignment horizontal="center" vertical="center"/>
    </xf>
    <xf numFmtId="0" fontId="127" fillId="2" borderId="46" xfId="12" applyFont="1" applyFill="1" applyBorder="1" applyAlignment="1">
      <alignment horizontal="center" vertical="center"/>
    </xf>
    <xf numFmtId="0" fontId="127" fillId="11" borderId="56" xfId="12" applyFont="1" applyFill="1" applyBorder="1" applyAlignment="1">
      <alignment horizontal="center" vertical="center" wrapText="1"/>
    </xf>
    <xf numFmtId="0" fontId="127" fillId="11" borderId="68" xfId="12" applyFont="1" applyFill="1" applyBorder="1" applyAlignment="1">
      <alignment horizontal="center" vertical="center" wrapText="1"/>
    </xf>
    <xf numFmtId="0" fontId="127" fillId="0" borderId="0" xfId="12" applyFont="1" applyAlignment="1">
      <alignment horizontal="center" vertical="center"/>
    </xf>
    <xf numFmtId="0" fontId="127" fillId="22" borderId="0" xfId="12" applyFont="1" applyFill="1" applyAlignment="1">
      <alignment horizontal="center" vertical="center"/>
    </xf>
    <xf numFmtId="0" fontId="127" fillId="0" borderId="0" xfId="12" applyFont="1" applyFill="1" applyAlignment="1">
      <alignment horizontal="center" vertical="center"/>
    </xf>
    <xf numFmtId="0" fontId="153" fillId="0" borderId="0" xfId="12" applyFont="1" applyAlignment="1">
      <alignment horizontal="center"/>
    </xf>
    <xf numFmtId="0" fontId="153" fillId="22" borderId="0" xfId="12" applyFont="1" applyFill="1" applyAlignment="1">
      <alignment horizontal="center"/>
    </xf>
    <xf numFmtId="0" fontId="153" fillId="0" borderId="0" xfId="12" applyFont="1" applyFill="1" applyAlignment="1">
      <alignment horizontal="center"/>
    </xf>
    <xf numFmtId="0" fontId="167" fillId="2" borderId="56" xfId="12" applyFont="1" applyFill="1" applyBorder="1" applyAlignment="1">
      <alignment horizontal="center" vertical="center"/>
    </xf>
    <xf numFmtId="0" fontId="16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20" xfId="12" applyFont="1" applyFill="1" applyBorder="1" applyAlignment="1">
      <alignment horizontal="center"/>
    </xf>
    <xf numFmtId="0" fontId="167" fillId="2" borderId="19" xfId="12" applyFont="1" applyFill="1" applyBorder="1" applyAlignment="1">
      <alignment horizontal="center"/>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5" fillId="0" borderId="0" xfId="12" applyNumberFormat="1" applyFont="1" applyAlignment="1">
      <alignment horizontal="left" wrapText="1"/>
    </xf>
    <xf numFmtId="0" fontId="167" fillId="2" borderId="34" xfId="12" applyFont="1" applyFill="1" applyBorder="1" applyAlignment="1">
      <alignment horizontal="center" vertical="center"/>
    </xf>
    <xf numFmtId="0" fontId="135" fillId="2" borderId="56" xfId="12" applyFont="1" applyFill="1" applyBorder="1" applyAlignment="1">
      <alignment horizontal="center" vertical="center"/>
    </xf>
    <xf numFmtId="0" fontId="135" fillId="2" borderId="34" xfId="12" applyFont="1" applyFill="1" applyBorder="1" applyAlignment="1">
      <alignment horizontal="center" vertical="center"/>
    </xf>
    <xf numFmtId="0" fontId="135" fillId="2" borderId="68" xfId="12" applyFont="1" applyFill="1" applyBorder="1" applyAlignment="1">
      <alignment horizontal="center" vertic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21" fillId="5" borderId="77" xfId="12" applyFont="1" applyFill="1" applyBorder="1" applyAlignment="1">
      <alignment horizontal="center" vertical="center"/>
    </xf>
    <xf numFmtId="0" fontId="21" fillId="5" borderId="91" xfId="12" applyFont="1" applyFill="1" applyBorder="1" applyAlignment="1">
      <alignment horizontal="center" vertical="center"/>
    </xf>
    <xf numFmtId="0" fontId="21" fillId="5" borderId="65" xfId="12" applyFont="1" applyFill="1" applyBorder="1" applyAlignment="1">
      <alignment horizontal="center" vertical="center"/>
    </xf>
    <xf numFmtId="0" fontId="21" fillId="5" borderId="82" xfId="12" applyFont="1" applyFill="1" applyBorder="1" applyAlignment="1">
      <alignment horizontal="center" vertical="center"/>
    </xf>
    <xf numFmtId="0" fontId="21" fillId="5" borderId="79" xfId="12" applyFont="1" applyFill="1" applyBorder="1" applyAlignment="1">
      <alignment horizontal="center" vertical="center"/>
    </xf>
    <xf numFmtId="0" fontId="21" fillId="5" borderId="43" xfId="12" applyFont="1" applyFill="1" applyBorder="1" applyAlignment="1">
      <alignment horizontal="center" vertical="center"/>
    </xf>
    <xf numFmtId="0" fontId="21" fillId="5" borderId="85" xfId="12" applyFont="1" applyFill="1" applyBorder="1" applyAlignment="1">
      <alignment horizontal="center" vertical="center"/>
    </xf>
    <xf numFmtId="0" fontId="21" fillId="5" borderId="89" xfId="12" applyFont="1" applyFill="1" applyBorder="1" applyAlignment="1">
      <alignment horizontal="center" vertical="center"/>
    </xf>
    <xf numFmtId="0" fontId="21" fillId="5" borderId="87" xfId="12" applyFont="1" applyFill="1" applyBorder="1" applyAlignment="1">
      <alignment horizontal="center" vertical="center"/>
    </xf>
    <xf numFmtId="0" fontId="21" fillId="5" borderId="78" xfId="12" applyFont="1" applyFill="1" applyBorder="1" applyAlignment="1">
      <alignment horizontal="center" vertical="center"/>
    </xf>
    <xf numFmtId="0" fontId="21" fillId="5" borderId="11" xfId="12" applyFont="1" applyFill="1" applyBorder="1" applyAlignment="1">
      <alignment horizontal="center" vertical="center"/>
    </xf>
    <xf numFmtId="0" fontId="21" fillId="5" borderId="67" xfId="12" applyFont="1" applyFill="1" applyBorder="1" applyAlignment="1">
      <alignment horizontal="center" vertical="center"/>
    </xf>
    <xf numFmtId="0" fontId="21" fillId="5" borderId="57" xfId="12" applyFont="1" applyFill="1" applyBorder="1" applyAlignment="1">
      <alignment horizontal="center"/>
    </xf>
    <xf numFmtId="0" fontId="21" fillId="5" borderId="40" xfId="12" applyFont="1" applyFill="1" applyBorder="1" applyAlignment="1">
      <alignment horizontal="center"/>
    </xf>
    <xf numFmtId="0" fontId="21" fillId="5" borderId="61" xfId="12" applyFont="1" applyFill="1" applyBorder="1" applyAlignment="1">
      <alignment horizontal="center"/>
    </xf>
    <xf numFmtId="0" fontId="21" fillId="5" borderId="66" xfId="12" applyFont="1" applyFill="1" applyBorder="1" applyAlignment="1">
      <alignment horizontal="center" vertical="center"/>
    </xf>
    <xf numFmtId="0" fontId="21" fillId="5" borderId="46" xfId="12" applyFont="1" applyFill="1" applyBorder="1" applyAlignment="1">
      <alignment horizontal="center" vertical="center"/>
    </xf>
    <xf numFmtId="0" fontId="21" fillId="5" borderId="90" xfId="12" applyFont="1" applyFill="1" applyBorder="1" applyAlignment="1">
      <alignment horizontal="center" vertical="center"/>
    </xf>
    <xf numFmtId="0" fontId="21" fillId="5" borderId="9" xfId="12" applyFont="1" applyFill="1" applyBorder="1" applyAlignment="1">
      <alignment horizontal="center"/>
    </xf>
    <xf numFmtId="0" fontId="21" fillId="5" borderId="17" xfId="12" applyFont="1" applyFill="1" applyBorder="1" applyAlignment="1">
      <alignment horizontal="center"/>
    </xf>
    <xf numFmtId="0" fontId="21" fillId="5" borderId="25" xfId="12" applyFont="1" applyFill="1" applyBorder="1" applyAlignment="1">
      <alignment horizontal="center" vertical="center"/>
    </xf>
    <xf numFmtId="0" fontId="21" fillId="5" borderId="45" xfId="12" applyFont="1" applyFill="1" applyBorder="1" applyAlignment="1">
      <alignment horizontal="center" vertical="center"/>
    </xf>
    <xf numFmtId="0" fontId="21" fillId="5" borderId="69" xfId="12" applyFont="1" applyFill="1" applyBorder="1" applyAlignment="1">
      <alignment horizontal="center" vertical="center"/>
    </xf>
    <xf numFmtId="10" fontId="14" fillId="0" borderId="81" xfId="29" applyNumberFormat="1" applyFont="1" applyFill="1" applyBorder="1" applyAlignment="1">
      <alignment horizontal="center" vertical="center"/>
    </xf>
    <xf numFmtId="10" fontId="14" fillId="0" borderId="48" xfId="29" applyNumberFormat="1" applyFont="1" applyFill="1" applyBorder="1" applyAlignment="1">
      <alignment horizontal="center" vertical="center"/>
    </xf>
    <xf numFmtId="0" fontId="21" fillId="0" borderId="37" xfId="12" applyNumberFormat="1" applyFont="1" applyBorder="1" applyAlignment="1">
      <alignment horizontal="left"/>
    </xf>
    <xf numFmtId="0" fontId="21" fillId="0" borderId="41" xfId="12" applyNumberFormat="1" applyFont="1" applyBorder="1" applyAlignment="1">
      <alignment horizontal="left"/>
    </xf>
    <xf numFmtId="0" fontId="21" fillId="0" borderId="62" xfId="12" applyNumberFormat="1" applyFont="1" applyBorder="1" applyAlignment="1">
      <alignment horizontal="left"/>
    </xf>
    <xf numFmtId="0" fontId="21" fillId="0" borderId="18" xfId="12" applyNumberFormat="1" applyFont="1" applyBorder="1" applyAlignment="1">
      <alignment horizontal="left"/>
    </xf>
    <xf numFmtId="0" fontId="21" fillId="0" borderId="19" xfId="12" applyNumberFormat="1" applyFont="1" applyBorder="1" applyAlignment="1">
      <alignment horizontal="left"/>
    </xf>
    <xf numFmtId="0" fontId="21" fillId="0" borderId="86" xfId="12" applyNumberFormat="1" applyFont="1" applyBorder="1" applyAlignment="1">
      <alignment horizontal="left"/>
    </xf>
    <xf numFmtId="0" fontId="47" fillId="0" borderId="51" xfId="12" applyFont="1" applyBorder="1" applyAlignment="1">
      <alignment horizontal="center"/>
    </xf>
    <xf numFmtId="0" fontId="41" fillId="0" borderId="57" xfId="12" applyFont="1" applyFill="1" applyBorder="1" applyAlignment="1">
      <alignment horizontal="left" vertical="center"/>
    </xf>
    <xf numFmtId="0" fontId="41" fillId="0" borderId="61" xfId="12" applyFont="1" applyFill="1" applyBorder="1" applyAlignment="1">
      <alignment horizontal="left" vertical="center"/>
    </xf>
    <xf numFmtId="0" fontId="41" fillId="0" borderId="9" xfId="12" applyFont="1" applyFill="1" applyBorder="1" applyAlignment="1">
      <alignment horizontal="left" vertical="center"/>
    </xf>
    <xf numFmtId="0" fontId="41" fillId="0" borderId="17" xfId="12" applyFont="1" applyFill="1" applyBorder="1" applyAlignment="1">
      <alignment horizontal="left" vertical="center"/>
    </xf>
    <xf numFmtId="0" fontId="41" fillId="0" borderId="63" xfId="12" applyFont="1" applyFill="1" applyBorder="1" applyAlignment="1">
      <alignment horizontal="left" vertical="center"/>
    </xf>
    <xf numFmtId="0" fontId="41" fillId="0" borderId="62" xfId="12" applyFont="1" applyFill="1" applyBorder="1" applyAlignment="1">
      <alignment horizontal="left" vertical="center"/>
    </xf>
    <xf numFmtId="2" fontId="26" fillId="0" borderId="0" xfId="23" applyNumberFormat="1" applyFont="1" applyFill="1" applyBorder="1" applyAlignment="1">
      <alignment horizontal="center"/>
    </xf>
    <xf numFmtId="2" fontId="12" fillId="0" borderId="0" xfId="23" applyNumberFormat="1" applyFont="1" applyFill="1" applyBorder="1" applyAlignment="1">
      <alignment horizontal="center"/>
    </xf>
    <xf numFmtId="2" fontId="12" fillId="5" borderId="1" xfId="23" applyNumberFormat="1" applyFont="1" applyFill="1" applyBorder="1" applyAlignment="1">
      <alignment horizontal="center" vertical="center" wrapText="1"/>
    </xf>
    <xf numFmtId="2" fontId="12" fillId="5" borderId="7" xfId="23" applyNumberFormat="1" applyFont="1" applyFill="1" applyBorder="1" applyAlignment="1">
      <alignment horizontal="center" vertical="center" wrapText="1"/>
    </xf>
    <xf numFmtId="2" fontId="12" fillId="5" borderId="2" xfId="23" applyNumberFormat="1" applyFont="1" applyFill="1" applyBorder="1" applyAlignment="1">
      <alignment horizontal="center" vertical="center" wrapText="1"/>
    </xf>
    <xf numFmtId="2" fontId="12" fillId="5" borderId="8" xfId="23" applyNumberFormat="1" applyFont="1" applyFill="1" applyBorder="1" applyAlignment="1">
      <alignment horizontal="center" vertical="center" wrapText="1"/>
    </xf>
    <xf numFmtId="2" fontId="12" fillId="5" borderId="2" xfId="23" applyNumberFormat="1" applyFont="1" applyFill="1" applyBorder="1" applyAlignment="1">
      <alignment horizontal="center"/>
    </xf>
    <xf numFmtId="2" fontId="12" fillId="5" borderId="81" xfId="23" applyNumberFormat="1" applyFont="1" applyFill="1" applyBorder="1" applyAlignment="1">
      <alignment horizontal="center" vertical="center"/>
    </xf>
    <xf numFmtId="2" fontId="12" fillId="5" borderId="69" xfId="23" applyNumberFormat="1" applyFont="1" applyFill="1" applyBorder="1" applyAlignment="1">
      <alignment horizontal="center" vertical="center"/>
    </xf>
    <xf numFmtId="4" fontId="14" fillId="0" borderId="5" xfId="0" applyNumberFormat="1" applyFont="1" applyFill="1" applyBorder="1" applyAlignment="1">
      <alignment horizontal="center"/>
    </xf>
    <xf numFmtId="167" fontId="84" fillId="4" borderId="57" xfId="38" applyNumberFormat="1" applyFont="1" applyFill="1" applyBorder="1" applyAlignment="1">
      <alignment horizontal="right"/>
    </xf>
    <xf numFmtId="167" fontId="84" fillId="4" borderId="61" xfId="38" applyNumberFormat="1" applyFont="1" applyFill="1" applyBorder="1" applyAlignment="1">
      <alignment horizontal="right"/>
    </xf>
    <xf numFmtId="167" fontId="85" fillId="4" borderId="9" xfId="38" applyNumberFormat="1" applyFont="1" applyFill="1" applyBorder="1" applyAlignment="1">
      <alignment horizontal="right"/>
    </xf>
    <xf numFmtId="0" fontId="85" fillId="4" borderId="17" xfId="38" applyFont="1" applyFill="1" applyBorder="1" applyAlignment="1">
      <alignment horizontal="right"/>
    </xf>
    <xf numFmtId="173" fontId="92" fillId="8" borderId="56" xfId="38" applyNumberFormat="1" applyFont="1" applyFill="1" applyBorder="1" applyAlignment="1">
      <alignment horizontal="center" vertical="center" wrapText="1"/>
    </xf>
    <xf numFmtId="0" fontId="80" fillId="0" borderId="34" xfId="38" applyBorder="1" applyAlignment="1">
      <alignment horizontal="center" vertical="center" wrapText="1"/>
    </xf>
    <xf numFmtId="0" fontId="91" fillId="8" borderId="16" xfId="38" applyFont="1" applyFill="1" applyBorder="1" applyAlignment="1">
      <alignment horizontal="center" vertical="center" wrapText="1"/>
    </xf>
    <xf numFmtId="0" fontId="91" fillId="8" borderId="56" xfId="38" applyFont="1" applyFill="1" applyBorder="1" applyAlignment="1">
      <alignment horizontal="center" vertical="center" wrapText="1"/>
    </xf>
    <xf numFmtId="174" fontId="94" fillId="0" borderId="0" xfId="38" applyNumberFormat="1" applyFont="1" applyFill="1" applyAlignment="1" applyProtection="1">
      <alignment horizontal="center" vertical="center"/>
    </xf>
    <xf numFmtId="173" fontId="92" fillId="8" borderId="18" xfId="38" applyNumberFormat="1" applyFont="1" applyFill="1" applyBorder="1" applyAlignment="1">
      <alignment horizontal="center" vertical="center" wrapText="1"/>
    </xf>
    <xf numFmtId="173" fontId="92" fillId="8" borderId="19" xfId="38" applyNumberFormat="1" applyFont="1" applyFill="1" applyBorder="1" applyAlignment="1">
      <alignment horizontal="center" vertical="center" wrapText="1"/>
    </xf>
    <xf numFmtId="167" fontId="85" fillId="4" borderId="17" xfId="38" applyNumberFormat="1" applyFont="1" applyFill="1" applyBorder="1" applyAlignment="1">
      <alignment horizontal="right"/>
    </xf>
    <xf numFmtId="167" fontId="85" fillId="0" borderId="9" xfId="38" applyNumberFormat="1" applyFont="1" applyBorder="1" applyAlignment="1">
      <alignment horizontal="right"/>
    </xf>
    <xf numFmtId="167" fontId="85" fillId="0" borderId="17" xfId="38" applyNumberFormat="1" applyFont="1" applyBorder="1" applyAlignment="1">
      <alignment horizontal="right"/>
    </xf>
    <xf numFmtId="167" fontId="84" fillId="0" borderId="9" xfId="38" applyNumberFormat="1" applyFont="1" applyBorder="1" applyAlignment="1">
      <alignment horizontal="right"/>
    </xf>
    <xf numFmtId="0" fontId="84" fillId="0" borderId="17" xfId="38" applyFont="1" applyBorder="1" applyAlignment="1">
      <alignment horizontal="right"/>
    </xf>
    <xf numFmtId="10" fontId="87" fillId="4" borderId="9" xfId="38" applyNumberFormat="1" applyFont="1" applyFill="1" applyBorder="1" applyAlignment="1">
      <alignment horizontal="center"/>
    </xf>
    <xf numFmtId="0" fontId="87" fillId="4" borderId="17" xfId="38" applyFont="1" applyFill="1" applyBorder="1" applyAlignment="1">
      <alignment horizontal="center"/>
    </xf>
    <xf numFmtId="10" fontId="87" fillId="4" borderId="63" xfId="38" applyNumberFormat="1" applyFont="1" applyFill="1" applyBorder="1" applyAlignment="1">
      <alignment horizontal="center"/>
    </xf>
    <xf numFmtId="0" fontId="87" fillId="4" borderId="62" xfId="38" applyFont="1" applyFill="1" applyBorder="1" applyAlignment="1">
      <alignment horizontal="center"/>
    </xf>
    <xf numFmtId="167" fontId="84" fillId="4" borderId="9" xfId="38" applyNumberFormat="1" applyFont="1" applyFill="1" applyBorder="1" applyAlignment="1">
      <alignment horizontal="right"/>
    </xf>
    <xf numFmtId="0" fontId="84" fillId="4" borderId="17" xfId="38" applyFont="1" applyFill="1" applyBorder="1" applyAlignment="1">
      <alignment horizontal="right"/>
    </xf>
    <xf numFmtId="4" fontId="55" fillId="0" borderId="82" xfId="15" applyNumberFormat="1" applyFont="1" applyFill="1" applyBorder="1" applyAlignment="1">
      <alignment horizontal="center" vertical="center"/>
    </xf>
    <xf numFmtId="4" fontId="55" fillId="0" borderId="43" xfId="15" applyNumberFormat="1" applyFont="1" applyFill="1" applyBorder="1" applyAlignment="1">
      <alignment horizontal="center" vertical="center"/>
    </xf>
    <xf numFmtId="4" fontId="51" fillId="0" borderId="0" xfId="15" applyNumberFormat="1" applyFont="1" applyBorder="1" applyAlignment="1">
      <alignment horizontal="center"/>
    </xf>
    <xf numFmtId="4" fontId="55" fillId="0" borderId="49" xfId="15" applyNumberFormat="1" applyFont="1" applyFill="1" applyBorder="1" applyAlignment="1">
      <alignment horizontal="center" vertical="center"/>
    </xf>
    <xf numFmtId="4" fontId="55" fillId="0" borderId="21" xfId="15" applyNumberFormat="1" applyFont="1" applyFill="1" applyBorder="1" applyAlignment="1">
      <alignment horizontal="center" vertical="center"/>
    </xf>
    <xf numFmtId="4" fontId="55" fillId="0" borderId="78" xfId="15" applyNumberFormat="1" applyFont="1" applyFill="1" applyBorder="1" applyAlignment="1">
      <alignment horizontal="center" vertical="center"/>
    </xf>
    <xf numFmtId="4" fontId="55" fillId="0" borderId="11" xfId="15" applyNumberFormat="1" applyFont="1" applyFill="1" applyBorder="1" applyAlignment="1">
      <alignment horizontal="center" vertical="center"/>
    </xf>
    <xf numFmtId="39" fontId="28" fillId="0" borderId="53" xfId="26" applyNumberFormat="1" applyFont="1" applyFill="1" applyBorder="1" applyAlignment="1">
      <alignment horizontal="center" vertical="center" wrapText="1"/>
    </xf>
    <xf numFmtId="39" fontId="28"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63" Type="http://schemas.openxmlformats.org/officeDocument/2006/relationships/externalLink" Target="externalLinks/externalLink25.xml"/><Relationship Id="rId68" Type="http://schemas.openxmlformats.org/officeDocument/2006/relationships/externalLink" Target="externalLinks/externalLink30.xml"/><Relationship Id="rId84" Type="http://schemas.openxmlformats.org/officeDocument/2006/relationships/externalLink" Target="externalLinks/externalLink46.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5.xml"/><Relationship Id="rId58" Type="http://schemas.openxmlformats.org/officeDocument/2006/relationships/externalLink" Target="externalLinks/externalLink20.xml"/><Relationship Id="rId74" Type="http://schemas.openxmlformats.org/officeDocument/2006/relationships/externalLink" Target="externalLinks/externalLink36.xml"/><Relationship Id="rId79" Type="http://schemas.openxmlformats.org/officeDocument/2006/relationships/externalLink" Target="externalLinks/externalLink41.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externalLink" Target="externalLinks/externalLink10.xml"/><Relationship Id="rId56" Type="http://schemas.openxmlformats.org/officeDocument/2006/relationships/externalLink" Target="externalLinks/externalLink18.xml"/><Relationship Id="rId64" Type="http://schemas.openxmlformats.org/officeDocument/2006/relationships/externalLink" Target="externalLinks/externalLink26.xml"/><Relationship Id="rId69" Type="http://schemas.openxmlformats.org/officeDocument/2006/relationships/externalLink" Target="externalLinks/externalLink31.xml"/><Relationship Id="rId77" Type="http://schemas.openxmlformats.org/officeDocument/2006/relationships/externalLink" Target="externalLinks/externalLink39.xml"/><Relationship Id="rId8" Type="http://schemas.openxmlformats.org/officeDocument/2006/relationships/worksheet" Target="worksheets/sheet8.xml"/><Relationship Id="rId51" Type="http://schemas.openxmlformats.org/officeDocument/2006/relationships/externalLink" Target="externalLinks/externalLink13.xml"/><Relationship Id="rId72" Type="http://schemas.openxmlformats.org/officeDocument/2006/relationships/externalLink" Target="externalLinks/externalLink34.xml"/><Relationship Id="rId80" Type="http://schemas.openxmlformats.org/officeDocument/2006/relationships/externalLink" Target="externalLinks/externalLink42.xml"/><Relationship Id="rId85" Type="http://schemas.openxmlformats.org/officeDocument/2006/relationships/externalLink" Target="externalLinks/externalLink4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59" Type="http://schemas.openxmlformats.org/officeDocument/2006/relationships/externalLink" Target="externalLinks/externalLink21.xml"/><Relationship Id="rId67" Type="http://schemas.openxmlformats.org/officeDocument/2006/relationships/externalLink" Target="externalLinks/externalLink29.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externalLink" Target="externalLinks/externalLink16.xml"/><Relationship Id="rId62" Type="http://schemas.openxmlformats.org/officeDocument/2006/relationships/externalLink" Target="externalLinks/externalLink24.xml"/><Relationship Id="rId70" Type="http://schemas.openxmlformats.org/officeDocument/2006/relationships/externalLink" Target="externalLinks/externalLink32.xml"/><Relationship Id="rId75" Type="http://schemas.openxmlformats.org/officeDocument/2006/relationships/externalLink" Target="externalLinks/externalLink37.xml"/><Relationship Id="rId83" Type="http://schemas.openxmlformats.org/officeDocument/2006/relationships/externalLink" Target="externalLinks/externalLink45.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1.xml"/><Relationship Id="rId57" Type="http://schemas.openxmlformats.org/officeDocument/2006/relationships/externalLink" Target="externalLinks/externalLink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externalLink" Target="externalLinks/externalLink14.xml"/><Relationship Id="rId60" Type="http://schemas.openxmlformats.org/officeDocument/2006/relationships/externalLink" Target="externalLinks/externalLink22.xml"/><Relationship Id="rId65" Type="http://schemas.openxmlformats.org/officeDocument/2006/relationships/externalLink" Target="externalLinks/externalLink27.xml"/><Relationship Id="rId73" Type="http://schemas.openxmlformats.org/officeDocument/2006/relationships/externalLink" Target="externalLinks/externalLink35.xml"/><Relationship Id="rId78" Type="http://schemas.openxmlformats.org/officeDocument/2006/relationships/externalLink" Target="externalLinks/externalLink40.xml"/><Relationship Id="rId81" Type="http://schemas.openxmlformats.org/officeDocument/2006/relationships/externalLink" Target="externalLinks/externalLink43.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xml"/><Relationship Id="rId34" Type="http://schemas.openxmlformats.org/officeDocument/2006/relationships/worksheet" Target="worksheets/sheet34.xml"/><Relationship Id="rId50" Type="http://schemas.openxmlformats.org/officeDocument/2006/relationships/externalLink" Target="externalLinks/externalLink12.xml"/><Relationship Id="rId55" Type="http://schemas.openxmlformats.org/officeDocument/2006/relationships/externalLink" Target="externalLinks/externalLink17.xml"/><Relationship Id="rId76" Type="http://schemas.openxmlformats.org/officeDocument/2006/relationships/externalLink" Target="externalLinks/externalLink38.xml"/><Relationship Id="rId7" Type="http://schemas.openxmlformats.org/officeDocument/2006/relationships/worksheet" Target="worksheets/sheet7.xml"/><Relationship Id="rId71" Type="http://schemas.openxmlformats.org/officeDocument/2006/relationships/externalLink" Target="externalLinks/externalLink3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66" Type="http://schemas.openxmlformats.org/officeDocument/2006/relationships/externalLink" Target="externalLinks/externalLink28.xml"/><Relationship Id="rId87" Type="http://schemas.openxmlformats.org/officeDocument/2006/relationships/styles" Target="styles.xml"/><Relationship Id="rId61" Type="http://schemas.openxmlformats.org/officeDocument/2006/relationships/externalLink" Target="externalLinks/externalLink23.xml"/><Relationship Id="rId82" Type="http://schemas.openxmlformats.org/officeDocument/2006/relationships/externalLink" Target="externalLinks/externalLink44.xml"/><Relationship Id="rId19" Type="http://schemas.openxmlformats.org/officeDocument/2006/relationships/worksheet" Target="worksheets/sheet1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1518836352"/>
        <c:axId val="1518821664"/>
      </c:lineChart>
      <c:catAx>
        <c:axId val="1518836352"/>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1518821664"/>
        <c:crosses val="autoZero"/>
        <c:auto val="0"/>
        <c:lblAlgn val="ctr"/>
        <c:lblOffset val="100"/>
        <c:tickMarkSkip val="1"/>
        <c:noMultiLvlLbl val="0"/>
      </c:catAx>
      <c:valAx>
        <c:axId val="1518821664"/>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1518836352"/>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(2)'!$H$68:$H$99</c:f>
              <c:numCache>
                <c:formatCode>0.00%</c:formatCode>
                <c:ptCount val="32"/>
                <c:pt idx="0">
                  <c:v>0</c:v>
                </c:pt>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(2)'!$K$68:$K$99</c:f>
              <c:numCache>
                <c:formatCode>0.00%</c:formatCode>
                <c:ptCount val="32"/>
                <c:pt idx="0">
                  <c:v>0</c:v>
                </c:pt>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1518833632"/>
        <c:axId val="1518826016"/>
      </c:lineChart>
      <c:catAx>
        <c:axId val="151883363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1518826016"/>
        <c:crosses val="autoZero"/>
        <c:auto val="0"/>
        <c:lblAlgn val="ctr"/>
        <c:lblOffset val="100"/>
        <c:tickMarkSkip val="1"/>
        <c:noMultiLvlLbl val="0"/>
      </c:catAx>
      <c:valAx>
        <c:axId val="1518826016"/>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1518833632"/>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2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3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FINANCIERO%20NOVIEMBRE.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METRADOS%20ARQUITECTURA%20PROGRAMADO%20NOVIEMBRE%202021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ISNTALACIONES%20SANITARIA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valorizacion%20especiales%20SANTA%20ROSA%202021%20NOVIEMBRE.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Metrado%20Noviembre%202021_estructuras_kevin.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cell r="G61">
            <v>9148485</v>
          </cell>
        </row>
      </sheetData>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NOVIEMBRE 2021ANEXO"/>
      <sheetName val="F5 NOVIEMBRE"/>
      <sheetName val="F6 NOVIEMBRE"/>
      <sheetName val="formato 12"/>
    </sheetNames>
    <sheetDataSet>
      <sheetData sheetId="0" refreshError="1"/>
      <sheetData sheetId="1" refreshError="1"/>
      <sheetData sheetId="2">
        <row r="15">
          <cell r="R15">
            <v>479208.93</v>
          </cell>
        </row>
        <row r="61">
          <cell r="R61">
            <v>1046883.0439770001</v>
          </cell>
        </row>
        <row r="63">
          <cell r="Q63">
            <v>5654994.1574670002</v>
          </cell>
        </row>
        <row r="65">
          <cell r="D65">
            <v>16216606.037467001</v>
          </cell>
        </row>
        <row r="70">
          <cell r="G70">
            <v>6019117.0700000003</v>
          </cell>
        </row>
      </sheetData>
      <sheetData sheetId="3">
        <row r="34">
          <cell r="C34">
            <v>52</v>
          </cell>
          <cell r="D34">
            <v>52</v>
          </cell>
          <cell r="E34">
            <v>61</v>
          </cell>
          <cell r="F34">
            <v>61</v>
          </cell>
          <cell r="G34">
            <v>61</v>
          </cell>
          <cell r="H34">
            <v>60</v>
          </cell>
          <cell r="I34">
            <v>50</v>
          </cell>
          <cell r="J34">
            <v>60</v>
          </cell>
          <cell r="K34">
            <v>60</v>
          </cell>
          <cell r="L34">
            <v>60</v>
          </cell>
          <cell r="M34">
            <v>61</v>
          </cell>
          <cell r="N34">
            <v>61</v>
          </cell>
          <cell r="O34">
            <v>60</v>
          </cell>
          <cell r="P34">
            <v>58</v>
          </cell>
          <cell r="Q34">
            <v>62</v>
          </cell>
          <cell r="R34">
            <v>62</v>
          </cell>
          <cell r="S34">
            <v>63</v>
          </cell>
          <cell r="T34">
            <v>63</v>
          </cell>
          <cell r="U34">
            <v>62</v>
          </cell>
          <cell r="V34">
            <v>62</v>
          </cell>
          <cell r="W34">
            <v>61</v>
          </cell>
          <cell r="X34">
            <v>58</v>
          </cell>
          <cell r="Y34">
            <v>60</v>
          </cell>
          <cell r="Z34">
            <v>61</v>
          </cell>
          <cell r="AA34">
            <v>61</v>
          </cell>
          <cell r="AB34">
            <v>61</v>
          </cell>
          <cell r="AC34">
            <v>61</v>
          </cell>
          <cell r="AD34">
            <v>58</v>
          </cell>
          <cell r="AE34">
            <v>61</v>
          </cell>
          <cell r="AF34">
            <v>61</v>
          </cell>
        </row>
        <row r="35">
          <cell r="C35">
            <v>12</v>
          </cell>
          <cell r="D35">
            <v>12</v>
          </cell>
          <cell r="E35">
            <v>14</v>
          </cell>
          <cell r="F35">
            <v>14</v>
          </cell>
          <cell r="G35">
            <v>14</v>
          </cell>
          <cell r="H35">
            <v>14</v>
          </cell>
          <cell r="I35">
            <v>12</v>
          </cell>
          <cell r="J35">
            <v>14</v>
          </cell>
          <cell r="K35">
            <v>13</v>
          </cell>
          <cell r="L35">
            <v>13</v>
          </cell>
          <cell r="M35">
            <v>13</v>
          </cell>
          <cell r="N35">
            <v>13</v>
          </cell>
          <cell r="O35">
            <v>13</v>
          </cell>
          <cell r="P35">
            <v>13</v>
          </cell>
          <cell r="Q35">
            <v>13</v>
          </cell>
          <cell r="R35">
            <v>13</v>
          </cell>
          <cell r="S35">
            <v>13</v>
          </cell>
          <cell r="T35">
            <v>13</v>
          </cell>
          <cell r="U35">
            <v>13</v>
          </cell>
          <cell r="V35">
            <v>11</v>
          </cell>
          <cell r="W35">
            <v>11</v>
          </cell>
          <cell r="X35">
            <v>13</v>
          </cell>
          <cell r="Y35">
            <v>13</v>
          </cell>
          <cell r="Z35">
            <v>13</v>
          </cell>
          <cell r="AA35">
            <v>13</v>
          </cell>
          <cell r="AB35">
            <v>13</v>
          </cell>
          <cell r="AC35">
            <v>13</v>
          </cell>
          <cell r="AD35">
            <v>13</v>
          </cell>
          <cell r="AE35">
            <v>13</v>
          </cell>
          <cell r="AF35">
            <v>13</v>
          </cell>
        </row>
        <row r="36">
          <cell r="C36">
            <v>42</v>
          </cell>
          <cell r="D36">
            <v>42</v>
          </cell>
          <cell r="E36">
            <v>50</v>
          </cell>
          <cell r="F36">
            <v>51</v>
          </cell>
          <cell r="G36">
            <v>51</v>
          </cell>
          <cell r="H36">
            <v>51</v>
          </cell>
          <cell r="I36">
            <v>42</v>
          </cell>
          <cell r="J36">
            <v>49</v>
          </cell>
          <cell r="K36">
            <v>49</v>
          </cell>
          <cell r="L36">
            <v>49</v>
          </cell>
          <cell r="M36">
            <v>49</v>
          </cell>
          <cell r="N36">
            <v>49</v>
          </cell>
          <cell r="O36">
            <v>49</v>
          </cell>
          <cell r="P36">
            <v>49</v>
          </cell>
          <cell r="Q36">
            <v>49</v>
          </cell>
          <cell r="R36">
            <v>49</v>
          </cell>
          <cell r="S36">
            <v>51</v>
          </cell>
          <cell r="T36">
            <v>51</v>
          </cell>
          <cell r="U36">
            <v>50</v>
          </cell>
          <cell r="V36">
            <v>49</v>
          </cell>
          <cell r="W36">
            <v>47</v>
          </cell>
          <cell r="X36">
            <v>50</v>
          </cell>
          <cell r="Y36">
            <v>53</v>
          </cell>
          <cell r="Z36">
            <v>55</v>
          </cell>
          <cell r="AA36">
            <v>55</v>
          </cell>
          <cell r="AB36">
            <v>55</v>
          </cell>
          <cell r="AC36">
            <v>55</v>
          </cell>
          <cell r="AD36">
            <v>50</v>
          </cell>
          <cell r="AE36">
            <v>55</v>
          </cell>
          <cell r="AF36">
            <v>55</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refreshError="1"/>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2">
          <cell r="H12">
            <v>11.975899999999996</v>
          </cell>
        </row>
        <row r="13">
          <cell r="H13">
            <v>248.53750000000002</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cell r="H18">
            <v>8.81</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cell r="I27">
            <v>361</v>
          </cell>
        </row>
        <row r="28">
          <cell r="I28">
            <v>290.39000000000004</v>
          </cell>
        </row>
        <row r="30">
          <cell r="H30">
            <v>89.99600000000072</v>
          </cell>
        </row>
        <row r="33">
          <cell r="I33">
            <v>1285.7199999999998</v>
          </cell>
        </row>
        <row r="34">
          <cell r="I34">
            <v>475.57</v>
          </cell>
        </row>
        <row r="36">
          <cell r="I36">
            <v>340.85700000000003</v>
          </cell>
        </row>
        <row r="37">
          <cell r="C37" t="str">
            <v>02.04.02.02</v>
          </cell>
          <cell r="D37" t="str">
            <v>CONTRAZOCALO DE CEMENTO PULIDO C/MORTERO 1:5 DE 2CM, H=30CM</v>
          </cell>
          <cell r="E37" t="str">
            <v>m2</v>
          </cell>
          <cell r="H37">
            <v>6.9</v>
          </cell>
        </row>
        <row r="38">
          <cell r="I38">
            <v>297.31</v>
          </cell>
        </row>
        <row r="40">
          <cell r="H40">
            <v>29.822000000000024</v>
          </cell>
        </row>
        <row r="41">
          <cell r="H41">
            <v>21.159999999999986</v>
          </cell>
        </row>
        <row r="46">
          <cell r="I46">
            <v>85.98</v>
          </cell>
        </row>
        <row r="47">
          <cell r="I47">
            <v>72.079650000000001</v>
          </cell>
        </row>
        <row r="48">
          <cell r="I48">
            <v>32.004750000000001</v>
          </cell>
        </row>
        <row r="49">
          <cell r="I49">
            <v>76.392999999999972</v>
          </cell>
        </row>
        <row r="50">
          <cell r="I50">
            <v>34.094100000000005</v>
          </cell>
        </row>
        <row r="52">
          <cell r="C52" t="str">
            <v>03.15.01</v>
          </cell>
          <cell r="D52" t="str">
            <v>PODIO DE CONCRETO C:A 1:10 , H= 10 cm</v>
          </cell>
          <cell r="E52" t="str">
            <v>m3</v>
          </cell>
          <cell r="H52">
            <v>0.98439999999999994</v>
          </cell>
        </row>
        <row r="53">
          <cell r="M53">
            <v>9093.2233780000024</v>
          </cell>
        </row>
      </sheetData>
      <sheetData sheetId="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55">
          <cell r="O55">
            <v>5</v>
          </cell>
        </row>
        <row r="56">
          <cell r="N56">
            <v>5</v>
          </cell>
        </row>
        <row r="57">
          <cell r="N57">
            <v>1</v>
          </cell>
        </row>
        <row r="64">
          <cell r="N64">
            <v>161</v>
          </cell>
        </row>
        <row r="72">
          <cell r="P72">
            <v>55202.606599999992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13">
          <cell r="O13">
            <v>22.33</v>
          </cell>
        </row>
        <row r="14">
          <cell r="O14">
            <v>3.1</v>
          </cell>
        </row>
        <row r="15">
          <cell r="G15" t="str">
            <v xml:space="preserve">               RELLENO Y COMPACTADO CON ARENA FINA (0.6m x 0.05m x L)</v>
          </cell>
          <cell r="H15" t="str">
            <v>m3</v>
          </cell>
          <cell r="O15">
            <v>2.0300000000000002</v>
          </cell>
          <cell r="P15">
            <v>2.9699999999999998</v>
          </cell>
        </row>
        <row r="16">
          <cell r="G16" t="str">
            <v xml:space="preserve">               RELLENO Y COMPACTADO CON MATERIAL PROPIO CERNIDO (0.60m x 0.25m x L)</v>
          </cell>
          <cell r="O16">
            <v>4.1400000000000006</v>
          </cell>
          <cell r="P16">
            <v>26.86</v>
          </cell>
        </row>
        <row r="17">
          <cell r="G17" t="str">
            <v xml:space="preserve">               RELLENO Y COMPACTADO CON MATERIAL PROPIO SIN TRATAR (0.60m x 0.30m x L)</v>
          </cell>
          <cell r="O17">
            <v>1.1700000000000017</v>
          </cell>
          <cell r="P17">
            <v>39.83</v>
          </cell>
        </row>
        <row r="18">
          <cell r="O18">
            <v>0.8600000000000001</v>
          </cell>
          <cell r="P18">
            <v>0.1399999999999999</v>
          </cell>
        </row>
        <row r="19">
          <cell r="G19" t="str">
            <v xml:space="preserve">               ELIMINACIÓN DE MATERIAL EXCEDENTE</v>
          </cell>
          <cell r="O19">
            <v>5.1199999999999992</v>
          </cell>
          <cell r="P19">
            <v>4.8800000000000008</v>
          </cell>
        </row>
        <row r="21">
          <cell r="O21">
            <v>8</v>
          </cell>
        </row>
        <row r="23">
          <cell r="G23" t="str">
            <v xml:space="preserve">               CINTA DE SEÑALIZACIÓN RIESGO ELÉCTRICO ENTERRADA (Según detalle)</v>
          </cell>
          <cell r="H23" t="str">
            <v>m</v>
          </cell>
          <cell r="O23">
            <v>29.25</v>
          </cell>
          <cell r="P23">
            <v>10.75</v>
          </cell>
        </row>
        <row r="25">
          <cell r="O25">
            <v>230</v>
          </cell>
        </row>
        <row r="26">
          <cell r="O26">
            <v>5.34</v>
          </cell>
        </row>
        <row r="27">
          <cell r="O27">
            <v>10.829999999999998</v>
          </cell>
        </row>
        <row r="33">
          <cell r="O33">
            <v>155.47</v>
          </cell>
        </row>
        <row r="37">
          <cell r="O37">
            <v>15</v>
          </cell>
        </row>
        <row r="40">
          <cell r="O40">
            <v>10</v>
          </cell>
        </row>
        <row r="46">
          <cell r="O46">
            <v>14</v>
          </cell>
        </row>
        <row r="53">
          <cell r="G53" t="str">
            <v xml:space="preserve">         TUBERIA PVC SAP-P Ø 20mm</v>
          </cell>
          <cell r="H53" t="str">
            <v>m</v>
          </cell>
          <cell r="P53">
            <v>200</v>
          </cell>
        </row>
        <row r="55">
          <cell r="G55" t="str">
            <v xml:space="preserve">         TUBERIA PVC SAP-P Ø 35mm</v>
          </cell>
          <cell r="O55">
            <v>8.4300000000000068</v>
          </cell>
          <cell r="P55">
            <v>11.569999999999993</v>
          </cell>
        </row>
        <row r="57">
          <cell r="G57" t="str">
            <v xml:space="preserve">         SALIDA DE PUNTOS DE RED DE DATOS CAT 6</v>
          </cell>
          <cell r="H57" t="str">
            <v>pto</v>
          </cell>
          <cell r="P57">
            <v>3</v>
          </cell>
        </row>
        <row r="59">
          <cell r="O59">
            <v>500</v>
          </cell>
        </row>
        <row r="63">
          <cell r="O63">
            <v>4</v>
          </cell>
        </row>
        <row r="79">
          <cell r="O79">
            <v>320</v>
          </cell>
        </row>
        <row r="113">
          <cell r="Q113">
            <v>3545.8791000000001</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 METRADOS P.NUEVAS"/>
      <sheetName val="S. MOYORES METRADOS"/>
      <sheetName val="SUSTENTO DE M. CONTRACTUAL"/>
      <sheetName val="Metrado Fierro P.nuevas"/>
      <sheetName val="Metrado Fierro MAYOR M."/>
      <sheetName val="Metrado Fierro Contractual"/>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70">
          <cell r="J70">
            <v>2.25</v>
          </cell>
        </row>
        <row r="75">
          <cell r="J75">
            <v>39</v>
          </cell>
        </row>
        <row r="79">
          <cell r="J79">
            <v>206.26999999999998</v>
          </cell>
        </row>
      </sheetData>
      <sheetData sheetId="3">
        <row r="178">
          <cell r="J178">
            <v>26.706000000000003</v>
          </cell>
        </row>
        <row r="224">
          <cell r="J224">
            <v>1732.64</v>
          </cell>
        </row>
        <row r="265">
          <cell r="J265">
            <v>297.82900000000001</v>
          </cell>
        </row>
      </sheetData>
      <sheetData sheetId="4">
        <row r="9">
          <cell r="T9">
            <v>0.02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349" t="s">
        <v>2094</v>
      </c>
      <c r="B2" s="2349"/>
      <c r="C2" s="2349"/>
      <c r="D2" s="2349"/>
      <c r="E2" s="2349"/>
      <c r="F2" s="2349"/>
      <c r="G2" s="2349"/>
      <c r="H2" s="2349"/>
      <c r="I2" s="2349"/>
      <c r="J2" s="2349"/>
      <c r="K2" s="2349"/>
      <c r="L2" s="2349"/>
      <c r="M2" s="2349"/>
      <c r="N2" s="2349"/>
      <c r="O2" s="2349"/>
      <c r="P2" s="2349"/>
    </row>
    <row r="3" spans="1:18" s="5" customFormat="1" ht="13.5" customHeight="1" thickBot="1">
      <c r="A3" s="1011"/>
      <c r="B3" s="2350" t="s">
        <v>2095</v>
      </c>
      <c r="C3" s="2350"/>
      <c r="D3" s="2350"/>
      <c r="E3" s="2350"/>
      <c r="F3" s="2350"/>
      <c r="G3" s="2350"/>
      <c r="H3" s="2350"/>
      <c r="I3" s="2350"/>
      <c r="J3" s="2350"/>
      <c r="K3" s="1011"/>
      <c r="L3" s="1011"/>
      <c r="M3" s="1011"/>
      <c r="N3" s="1011"/>
      <c r="O3" s="1011"/>
      <c r="P3" s="1011"/>
    </row>
    <row r="4" spans="1:18" s="169" customFormat="1" ht="32.25" customHeight="1" thickBot="1">
      <c r="A4" s="3"/>
      <c r="B4" s="611" t="s">
        <v>6</v>
      </c>
      <c r="C4" s="172" t="s">
        <v>4</v>
      </c>
      <c r="D4" s="2351" t="s">
        <v>532</v>
      </c>
      <c r="E4" s="2352"/>
      <c r="F4" s="2352"/>
      <c r="G4" s="2352"/>
      <c r="H4" s="2352"/>
      <c r="I4" s="2352"/>
      <c r="J4" s="2352"/>
      <c r="K4" s="2352"/>
      <c r="L4" s="2353"/>
      <c r="M4" s="514" t="s">
        <v>13</v>
      </c>
      <c r="N4" s="168"/>
      <c r="O4" s="2354">
        <v>42951</v>
      </c>
      <c r="P4" s="2354"/>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337" t="s">
        <v>20</v>
      </c>
      <c r="B10" s="2337" t="s">
        <v>21</v>
      </c>
      <c r="C10" s="2341" t="s">
        <v>22</v>
      </c>
      <c r="D10" s="2357" t="s">
        <v>23</v>
      </c>
      <c r="E10" s="2358"/>
      <c r="F10" s="2359"/>
      <c r="G10" s="2343" t="s">
        <v>24</v>
      </c>
      <c r="H10" s="2344"/>
      <c r="I10" s="2344"/>
      <c r="J10" s="2344"/>
      <c r="K10" s="2344"/>
      <c r="L10" s="2344"/>
      <c r="M10" s="2345"/>
      <c r="N10" s="2357" t="s">
        <v>25</v>
      </c>
      <c r="O10" s="2358"/>
      <c r="P10" s="2359"/>
    </row>
    <row r="11" spans="1:18" s="5" customFormat="1" ht="11.25" customHeight="1" thickBot="1">
      <c r="A11" s="2355"/>
      <c r="B11" s="2355"/>
      <c r="C11" s="2356"/>
      <c r="D11" s="2360"/>
      <c r="E11" s="2361"/>
      <c r="F11" s="2362"/>
      <c r="G11" s="2343" t="s">
        <v>26</v>
      </c>
      <c r="H11" s="2345"/>
      <c r="I11" s="2343" t="s">
        <v>27</v>
      </c>
      <c r="J11" s="2345"/>
      <c r="K11" s="2343" t="s">
        <v>28</v>
      </c>
      <c r="L11" s="2344"/>
      <c r="M11" s="2345"/>
      <c r="N11" s="2360"/>
      <c r="O11" s="2361"/>
      <c r="P11" s="2362"/>
    </row>
    <row r="12" spans="1:18" s="5" customFormat="1" ht="11.25" customHeight="1">
      <c r="A12" s="2355"/>
      <c r="B12" s="2355"/>
      <c r="C12" s="2356"/>
      <c r="D12" s="2337" t="s">
        <v>29</v>
      </c>
      <c r="E12" s="2339" t="s">
        <v>30</v>
      </c>
      <c r="F12" s="2337" t="s">
        <v>31</v>
      </c>
      <c r="G12" s="2337" t="s">
        <v>3</v>
      </c>
      <c r="H12" s="2341" t="s">
        <v>32</v>
      </c>
      <c r="I12" s="2337" t="s">
        <v>3</v>
      </c>
      <c r="J12" s="2337" t="s">
        <v>32</v>
      </c>
      <c r="K12" s="2337" t="s">
        <v>3</v>
      </c>
      <c r="L12" s="2337" t="s">
        <v>32</v>
      </c>
      <c r="M12" s="2337" t="s">
        <v>0</v>
      </c>
      <c r="N12" s="2337" t="s">
        <v>3</v>
      </c>
      <c r="O12" s="2363" t="s">
        <v>32</v>
      </c>
      <c r="P12" s="2337" t="s">
        <v>0</v>
      </c>
    </row>
    <row r="13" spans="1:18" s="5" customFormat="1" ht="11.25" customHeight="1" thickBot="1">
      <c r="A13" s="2338"/>
      <c r="B13" s="2338"/>
      <c r="C13" s="2342"/>
      <c r="D13" s="2338"/>
      <c r="E13" s="2340"/>
      <c r="F13" s="2338"/>
      <c r="G13" s="2338"/>
      <c r="H13" s="2342"/>
      <c r="I13" s="2338"/>
      <c r="J13" s="2338"/>
      <c r="K13" s="2338"/>
      <c r="L13" s="2338"/>
      <c r="M13" s="2338"/>
      <c r="N13" s="2338"/>
      <c r="O13" s="2364"/>
      <c r="P13" s="2338"/>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1922</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46" t="s">
        <v>62</v>
      </c>
      <c r="D97" s="2347"/>
      <c r="E97" s="2347"/>
      <c r="F97" s="2347"/>
      <c r="G97" s="2348"/>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65" t="s">
        <v>529</v>
      </c>
      <c r="B1" s="2365"/>
      <c r="C1" s="2365"/>
      <c r="D1" s="2365"/>
      <c r="E1" s="2365"/>
      <c r="F1" s="2365"/>
      <c r="G1" s="2365"/>
    </row>
    <row r="2" spans="1:7">
      <c r="A2" s="945" t="s">
        <v>1956</v>
      </c>
      <c r="B2" s="946" t="s">
        <v>1958</v>
      </c>
      <c r="C2" s="946" t="s">
        <v>1959</v>
      </c>
      <c r="D2" s="946" t="s">
        <v>1960</v>
      </c>
      <c r="E2" s="946" t="s">
        <v>1961</v>
      </c>
      <c r="F2" s="946" t="s">
        <v>1211</v>
      </c>
      <c r="G2" s="946" t="s">
        <v>1973</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1957</v>
      </c>
      <c r="E7" s="956"/>
      <c r="F7" s="956"/>
      <c r="G7" s="148"/>
    </row>
    <row r="8" spans="1:7" ht="39.6">
      <c r="A8" s="953">
        <v>42922</v>
      </c>
      <c r="B8" s="956"/>
      <c r="C8" s="949" t="s">
        <v>1962</v>
      </c>
      <c r="D8" s="949" t="s">
        <v>1964</v>
      </c>
      <c r="E8" s="956"/>
      <c r="F8" s="949" t="s">
        <v>1968</v>
      </c>
      <c r="G8" s="148"/>
    </row>
    <row r="9" spans="1:7" ht="52.8">
      <c r="A9" s="953">
        <v>42923</v>
      </c>
      <c r="B9" s="956"/>
      <c r="C9" s="949" t="s">
        <v>1965</v>
      </c>
      <c r="D9" s="949" t="s">
        <v>1966</v>
      </c>
      <c r="E9" s="956"/>
      <c r="F9" s="949" t="s">
        <v>1963</v>
      </c>
      <c r="G9" s="148"/>
    </row>
    <row r="10" spans="1:7" ht="52.8">
      <c r="A10" s="953">
        <v>42924</v>
      </c>
      <c r="B10" s="956"/>
      <c r="C10" s="949" t="s">
        <v>1967</v>
      </c>
      <c r="D10" s="949" t="s">
        <v>1966</v>
      </c>
      <c r="E10" s="956"/>
      <c r="F10" s="947" t="s">
        <v>1968</v>
      </c>
      <c r="G10" s="148"/>
    </row>
    <row r="11" spans="1:7">
      <c r="A11" s="954">
        <v>42925</v>
      </c>
      <c r="B11" s="951"/>
      <c r="C11" s="957"/>
      <c r="D11" s="957"/>
      <c r="E11" s="957"/>
      <c r="F11" s="957"/>
      <c r="G11" s="950"/>
    </row>
    <row r="12" spans="1:7" ht="52.8">
      <c r="A12" s="953">
        <v>42926</v>
      </c>
      <c r="B12" s="956"/>
      <c r="C12" s="949" t="s">
        <v>1966</v>
      </c>
      <c r="D12" s="949" t="s">
        <v>1966</v>
      </c>
      <c r="E12" s="956"/>
      <c r="F12" s="949" t="s">
        <v>1963</v>
      </c>
      <c r="G12" s="148"/>
    </row>
    <row r="13" spans="1:7" ht="52.8">
      <c r="A13" s="953">
        <v>42927</v>
      </c>
      <c r="B13" s="956"/>
      <c r="C13" s="949" t="s">
        <v>1966</v>
      </c>
      <c r="D13" s="949" t="s">
        <v>1966</v>
      </c>
      <c r="E13" s="956"/>
      <c r="F13" s="949" t="s">
        <v>1968</v>
      </c>
      <c r="G13" s="949" t="s">
        <v>1974</v>
      </c>
    </row>
    <row r="14" spans="1:7" ht="52.8">
      <c r="A14" s="953">
        <v>42928</v>
      </c>
      <c r="B14" s="956"/>
      <c r="C14" s="949" t="s">
        <v>1969</v>
      </c>
      <c r="D14" s="949" t="s">
        <v>1970</v>
      </c>
      <c r="E14" s="956"/>
      <c r="F14" s="949" t="s">
        <v>1963</v>
      </c>
      <c r="G14" s="949" t="s">
        <v>1974</v>
      </c>
    </row>
    <row r="15" spans="1:7" ht="52.8">
      <c r="A15" s="953">
        <v>42929</v>
      </c>
      <c r="B15" s="948"/>
      <c r="C15" s="949" t="s">
        <v>1969</v>
      </c>
      <c r="D15" s="949" t="s">
        <v>1970</v>
      </c>
      <c r="E15" s="956"/>
      <c r="F15" s="949" t="s">
        <v>1968</v>
      </c>
      <c r="G15" s="949" t="s">
        <v>1974</v>
      </c>
    </row>
    <row r="16" spans="1:7" ht="39.6">
      <c r="A16" s="953">
        <v>42930</v>
      </c>
      <c r="B16" s="956"/>
      <c r="C16" s="949" t="s">
        <v>1971</v>
      </c>
      <c r="D16" s="949" t="s">
        <v>1971</v>
      </c>
      <c r="E16" s="956"/>
      <c r="F16" s="949" t="s">
        <v>1963</v>
      </c>
      <c r="G16" s="952" t="s">
        <v>1975</v>
      </c>
    </row>
    <row r="17" spans="1:7" ht="39.6">
      <c r="A17" s="953">
        <v>42931</v>
      </c>
      <c r="B17" s="956"/>
      <c r="C17" s="949" t="s">
        <v>1971</v>
      </c>
      <c r="D17" s="949" t="s">
        <v>1971</v>
      </c>
      <c r="E17" s="956"/>
      <c r="F17" s="949" t="s">
        <v>1968</v>
      </c>
      <c r="G17" s="949" t="s">
        <v>1976</v>
      </c>
    </row>
    <row r="18" spans="1:7">
      <c r="A18" s="954">
        <v>42932</v>
      </c>
      <c r="B18" s="957"/>
      <c r="C18" s="957"/>
      <c r="D18" s="957"/>
      <c r="E18" s="957"/>
      <c r="F18" s="957"/>
      <c r="G18" s="950"/>
    </row>
    <row r="19" spans="1:7" ht="39.6">
      <c r="A19" s="953">
        <v>42933</v>
      </c>
      <c r="B19" s="948"/>
      <c r="C19" s="949" t="s">
        <v>1971</v>
      </c>
      <c r="D19" s="949" t="s">
        <v>1971</v>
      </c>
      <c r="E19" s="956"/>
      <c r="F19" s="956"/>
      <c r="G19" s="949" t="s">
        <v>1976</v>
      </c>
    </row>
    <row r="20" spans="1:7" ht="39.6">
      <c r="A20" s="953">
        <v>42934</v>
      </c>
      <c r="B20" s="956"/>
      <c r="C20" s="949" t="s">
        <v>1971</v>
      </c>
      <c r="D20" s="949" t="s">
        <v>1971</v>
      </c>
      <c r="E20" s="956"/>
      <c r="F20" s="956"/>
      <c r="G20" s="949" t="s">
        <v>1977</v>
      </c>
    </row>
    <row r="21" spans="1:7" ht="39.6">
      <c r="A21" s="953">
        <v>42935</v>
      </c>
      <c r="B21" s="956"/>
      <c r="C21" s="949" t="s">
        <v>1971</v>
      </c>
      <c r="D21" s="956"/>
      <c r="E21" s="956"/>
      <c r="F21" s="956"/>
      <c r="G21" s="949" t="s">
        <v>1976</v>
      </c>
    </row>
    <row r="22" spans="1:7" ht="26.4">
      <c r="A22" s="953">
        <v>42936</v>
      </c>
      <c r="B22" s="956"/>
      <c r="C22" s="949" t="s">
        <v>1972</v>
      </c>
      <c r="D22" s="949" t="s">
        <v>1972</v>
      </c>
      <c r="E22" s="956"/>
      <c r="F22" s="956"/>
      <c r="G22" s="949" t="s">
        <v>1977</v>
      </c>
    </row>
    <row r="23" spans="1:7" ht="39.6">
      <c r="A23" s="953">
        <v>42937</v>
      </c>
      <c r="B23" s="949" t="s">
        <v>1981</v>
      </c>
      <c r="C23" s="947" t="s">
        <v>1980</v>
      </c>
      <c r="D23" s="947" t="s">
        <v>1980</v>
      </c>
      <c r="E23" s="956"/>
      <c r="F23" s="956"/>
      <c r="G23" s="949" t="s">
        <v>1978</v>
      </c>
    </row>
    <row r="24" spans="1:7" ht="39.6">
      <c r="A24" s="953">
        <v>42938</v>
      </c>
      <c r="B24" s="949" t="s">
        <v>1981</v>
      </c>
      <c r="C24" s="947" t="s">
        <v>1980</v>
      </c>
      <c r="D24" s="947" t="s">
        <v>1980</v>
      </c>
      <c r="E24" s="956"/>
      <c r="F24" s="956"/>
      <c r="G24" s="949" t="s">
        <v>1978</v>
      </c>
    </row>
    <row r="25" spans="1:7">
      <c r="A25" s="954">
        <v>42939</v>
      </c>
      <c r="B25" s="957"/>
      <c r="C25" s="957"/>
      <c r="D25" s="957"/>
      <c r="E25" s="957"/>
      <c r="F25" s="957"/>
      <c r="G25" s="960"/>
    </row>
    <row r="26" spans="1:7" ht="39.6">
      <c r="A26" s="953">
        <v>42940</v>
      </c>
      <c r="B26" s="949" t="s">
        <v>1982</v>
      </c>
      <c r="C26" s="947" t="s">
        <v>1980</v>
      </c>
      <c r="D26" s="947" t="s">
        <v>1980</v>
      </c>
      <c r="E26" s="956"/>
      <c r="F26" s="956"/>
      <c r="G26" s="949" t="s">
        <v>1978</v>
      </c>
    </row>
    <row r="27" spans="1:7" ht="39.6">
      <c r="A27" s="953">
        <v>42941</v>
      </c>
      <c r="C27" s="947" t="s">
        <v>1980</v>
      </c>
      <c r="D27" s="947" t="s">
        <v>1980</v>
      </c>
      <c r="E27" s="956"/>
      <c r="F27" s="956"/>
      <c r="G27" s="952" t="s">
        <v>1979</v>
      </c>
    </row>
    <row r="28" spans="1:7" ht="26.4">
      <c r="A28" s="953">
        <v>42942</v>
      </c>
      <c r="B28" s="956"/>
      <c r="C28" s="956"/>
      <c r="D28" s="956"/>
      <c r="E28" s="956"/>
      <c r="F28" s="956"/>
      <c r="G28" s="949" t="s">
        <v>1976</v>
      </c>
    </row>
    <row r="29" spans="1:7" ht="26.4">
      <c r="A29" s="953">
        <v>42943</v>
      </c>
      <c r="B29" s="956"/>
      <c r="C29" s="956"/>
      <c r="D29" s="956"/>
      <c r="E29" s="956"/>
      <c r="F29" s="956"/>
      <c r="G29" s="961" t="s">
        <v>1977</v>
      </c>
    </row>
    <row r="30" spans="1:7">
      <c r="A30" s="954">
        <v>42944</v>
      </c>
      <c r="B30" s="957"/>
      <c r="C30" s="957"/>
      <c r="D30" s="957"/>
      <c r="E30" s="957"/>
      <c r="F30" s="957"/>
      <c r="G30" s="950"/>
    </row>
    <row r="31" spans="1:7" ht="26.4">
      <c r="A31" s="955">
        <v>42945</v>
      </c>
      <c r="B31" s="959"/>
      <c r="C31" s="959"/>
      <c r="D31" s="959"/>
      <c r="E31" s="959"/>
      <c r="F31" s="949" t="s">
        <v>1981</v>
      </c>
      <c r="G31" s="148"/>
    </row>
    <row r="32" spans="1:7">
      <c r="A32" s="954">
        <v>42946</v>
      </c>
      <c r="B32" s="957"/>
      <c r="C32" s="957"/>
      <c r="D32" s="957"/>
      <c r="E32" s="957"/>
      <c r="F32" s="960"/>
      <c r="G32" s="950"/>
    </row>
    <row r="33" spans="1:7" ht="26.4">
      <c r="A33" s="953">
        <v>42947</v>
      </c>
      <c r="B33" s="956"/>
      <c r="C33" s="956"/>
      <c r="D33" s="956"/>
      <c r="E33" s="956"/>
      <c r="F33" s="949" t="s">
        <v>1981</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zoomScaleNormal="100" zoomScaleSheetLayoutView="100" workbookViewId="0">
      <selection activeCell="E16" sqref="E16"/>
    </sheetView>
  </sheetViews>
  <sheetFormatPr baseColWidth="10" defaultRowHeight="14.4"/>
  <cols>
    <col min="1" max="1" width="11.5546875" style="2171"/>
    <col min="2" max="2" width="1" style="2171" customWidth="1"/>
    <col min="3" max="3" width="4.44140625" style="2171" customWidth="1"/>
    <col min="4" max="4" width="5.44140625" style="2171" customWidth="1"/>
    <col min="5" max="5" width="50.5546875" style="2171" bestFit="1" customWidth="1"/>
    <col min="6" max="6" width="56.44140625" style="2171" customWidth="1"/>
    <col min="7" max="7" width="1.21875" style="2171" customWidth="1"/>
    <col min="8" max="8" width="17" style="2171" customWidth="1"/>
    <col min="9" max="258" width="10.88671875" style="2171"/>
    <col min="259" max="259" width="4.44140625" style="2171" customWidth="1"/>
    <col min="260" max="260" width="5.44140625" style="2171" customWidth="1"/>
    <col min="261" max="261" width="50.5546875" style="2171" bestFit="1" customWidth="1"/>
    <col min="262" max="262" width="56.44140625" style="2171" customWidth="1"/>
    <col min="263" max="514" width="10.88671875" style="2171"/>
    <col min="515" max="515" width="4.44140625" style="2171" customWidth="1"/>
    <col min="516" max="516" width="5.44140625" style="2171" customWidth="1"/>
    <col min="517" max="517" width="50.5546875" style="2171" bestFit="1" customWidth="1"/>
    <col min="518" max="518" width="56.44140625" style="2171" customWidth="1"/>
    <col min="519" max="770" width="10.88671875" style="2171"/>
    <col min="771" max="771" width="4.44140625" style="2171" customWidth="1"/>
    <col min="772" max="772" width="5.44140625" style="2171" customWidth="1"/>
    <col min="773" max="773" width="50.5546875" style="2171" bestFit="1" customWidth="1"/>
    <col min="774" max="774" width="56.44140625" style="2171" customWidth="1"/>
    <col min="775" max="1026" width="10.88671875" style="2171"/>
    <col min="1027" max="1027" width="4.44140625" style="2171" customWidth="1"/>
    <col min="1028" max="1028" width="5.44140625" style="2171" customWidth="1"/>
    <col min="1029" max="1029" width="50.5546875" style="2171" bestFit="1" customWidth="1"/>
    <col min="1030" max="1030" width="56.44140625" style="2171" customWidth="1"/>
    <col min="1031" max="1282" width="10.88671875" style="2171"/>
    <col min="1283" max="1283" width="4.44140625" style="2171" customWidth="1"/>
    <col min="1284" max="1284" width="5.44140625" style="2171" customWidth="1"/>
    <col min="1285" max="1285" width="50.5546875" style="2171" bestFit="1" customWidth="1"/>
    <col min="1286" max="1286" width="56.44140625" style="2171" customWidth="1"/>
    <col min="1287" max="1538" width="10.88671875" style="2171"/>
    <col min="1539" max="1539" width="4.44140625" style="2171" customWidth="1"/>
    <col min="1540" max="1540" width="5.44140625" style="2171" customWidth="1"/>
    <col min="1541" max="1541" width="50.5546875" style="2171" bestFit="1" customWidth="1"/>
    <col min="1542" max="1542" width="56.44140625" style="2171" customWidth="1"/>
    <col min="1543" max="1794" width="10.88671875" style="2171"/>
    <col min="1795" max="1795" width="4.44140625" style="2171" customWidth="1"/>
    <col min="1796" max="1796" width="5.44140625" style="2171" customWidth="1"/>
    <col min="1797" max="1797" width="50.5546875" style="2171" bestFit="1" customWidth="1"/>
    <col min="1798" max="1798" width="56.44140625" style="2171" customWidth="1"/>
    <col min="1799" max="2050" width="10.88671875" style="2171"/>
    <col min="2051" max="2051" width="4.44140625" style="2171" customWidth="1"/>
    <col min="2052" max="2052" width="5.44140625" style="2171" customWidth="1"/>
    <col min="2053" max="2053" width="50.5546875" style="2171" bestFit="1" customWidth="1"/>
    <col min="2054" max="2054" width="56.44140625" style="2171" customWidth="1"/>
    <col min="2055" max="2306" width="10.88671875" style="2171"/>
    <col min="2307" max="2307" width="4.44140625" style="2171" customWidth="1"/>
    <col min="2308" max="2308" width="5.44140625" style="2171" customWidth="1"/>
    <col min="2309" max="2309" width="50.5546875" style="2171" bestFit="1" customWidth="1"/>
    <col min="2310" max="2310" width="56.44140625" style="2171" customWidth="1"/>
    <col min="2311" max="2562" width="10.88671875" style="2171"/>
    <col min="2563" max="2563" width="4.44140625" style="2171" customWidth="1"/>
    <col min="2564" max="2564" width="5.44140625" style="2171" customWidth="1"/>
    <col min="2565" max="2565" width="50.5546875" style="2171" bestFit="1" customWidth="1"/>
    <col min="2566" max="2566" width="56.44140625" style="2171" customWidth="1"/>
    <col min="2567" max="2818" width="10.88671875" style="2171"/>
    <col min="2819" max="2819" width="4.44140625" style="2171" customWidth="1"/>
    <col min="2820" max="2820" width="5.44140625" style="2171" customWidth="1"/>
    <col min="2821" max="2821" width="50.5546875" style="2171" bestFit="1" customWidth="1"/>
    <col min="2822" max="2822" width="56.44140625" style="2171" customWidth="1"/>
    <col min="2823" max="3074" width="10.88671875" style="2171"/>
    <col min="3075" max="3075" width="4.44140625" style="2171" customWidth="1"/>
    <col min="3076" max="3076" width="5.44140625" style="2171" customWidth="1"/>
    <col min="3077" max="3077" width="50.5546875" style="2171" bestFit="1" customWidth="1"/>
    <col min="3078" max="3078" width="56.44140625" style="2171" customWidth="1"/>
    <col min="3079" max="3330" width="10.88671875" style="2171"/>
    <col min="3331" max="3331" width="4.44140625" style="2171" customWidth="1"/>
    <col min="3332" max="3332" width="5.44140625" style="2171" customWidth="1"/>
    <col min="3333" max="3333" width="50.5546875" style="2171" bestFit="1" customWidth="1"/>
    <col min="3334" max="3334" width="56.44140625" style="2171" customWidth="1"/>
    <col min="3335" max="3586" width="10.88671875" style="2171"/>
    <col min="3587" max="3587" width="4.44140625" style="2171" customWidth="1"/>
    <col min="3588" max="3588" width="5.44140625" style="2171" customWidth="1"/>
    <col min="3589" max="3589" width="50.5546875" style="2171" bestFit="1" customWidth="1"/>
    <col min="3590" max="3590" width="56.44140625" style="2171" customWidth="1"/>
    <col min="3591" max="3842" width="10.88671875" style="2171"/>
    <col min="3843" max="3843" width="4.44140625" style="2171" customWidth="1"/>
    <col min="3844" max="3844" width="5.44140625" style="2171" customWidth="1"/>
    <col min="3845" max="3845" width="50.5546875" style="2171" bestFit="1" customWidth="1"/>
    <col min="3846" max="3846" width="56.44140625" style="2171" customWidth="1"/>
    <col min="3847" max="4098" width="10.88671875" style="2171"/>
    <col min="4099" max="4099" width="4.44140625" style="2171" customWidth="1"/>
    <col min="4100" max="4100" width="5.44140625" style="2171" customWidth="1"/>
    <col min="4101" max="4101" width="50.5546875" style="2171" bestFit="1" customWidth="1"/>
    <col min="4102" max="4102" width="56.44140625" style="2171" customWidth="1"/>
    <col min="4103" max="4354" width="10.88671875" style="2171"/>
    <col min="4355" max="4355" width="4.44140625" style="2171" customWidth="1"/>
    <col min="4356" max="4356" width="5.44140625" style="2171" customWidth="1"/>
    <col min="4357" max="4357" width="50.5546875" style="2171" bestFit="1" customWidth="1"/>
    <col min="4358" max="4358" width="56.44140625" style="2171" customWidth="1"/>
    <col min="4359" max="4610" width="10.88671875" style="2171"/>
    <col min="4611" max="4611" width="4.44140625" style="2171" customWidth="1"/>
    <col min="4612" max="4612" width="5.44140625" style="2171" customWidth="1"/>
    <col min="4613" max="4613" width="50.5546875" style="2171" bestFit="1" customWidth="1"/>
    <col min="4614" max="4614" width="56.44140625" style="2171" customWidth="1"/>
    <col min="4615" max="4866" width="10.88671875" style="2171"/>
    <col min="4867" max="4867" width="4.44140625" style="2171" customWidth="1"/>
    <col min="4868" max="4868" width="5.44140625" style="2171" customWidth="1"/>
    <col min="4869" max="4869" width="50.5546875" style="2171" bestFit="1" customWidth="1"/>
    <col min="4870" max="4870" width="56.44140625" style="2171" customWidth="1"/>
    <col min="4871" max="5122" width="10.88671875" style="2171"/>
    <col min="5123" max="5123" width="4.44140625" style="2171" customWidth="1"/>
    <col min="5124" max="5124" width="5.44140625" style="2171" customWidth="1"/>
    <col min="5125" max="5125" width="50.5546875" style="2171" bestFit="1" customWidth="1"/>
    <col min="5126" max="5126" width="56.44140625" style="2171" customWidth="1"/>
    <col min="5127" max="5378" width="10.88671875" style="2171"/>
    <col min="5379" max="5379" width="4.44140625" style="2171" customWidth="1"/>
    <col min="5380" max="5380" width="5.44140625" style="2171" customWidth="1"/>
    <col min="5381" max="5381" width="50.5546875" style="2171" bestFit="1" customWidth="1"/>
    <col min="5382" max="5382" width="56.44140625" style="2171" customWidth="1"/>
    <col min="5383" max="5634" width="10.88671875" style="2171"/>
    <col min="5635" max="5635" width="4.44140625" style="2171" customWidth="1"/>
    <col min="5636" max="5636" width="5.44140625" style="2171" customWidth="1"/>
    <col min="5637" max="5637" width="50.5546875" style="2171" bestFit="1" customWidth="1"/>
    <col min="5638" max="5638" width="56.44140625" style="2171" customWidth="1"/>
    <col min="5639" max="5890" width="10.88671875" style="2171"/>
    <col min="5891" max="5891" width="4.44140625" style="2171" customWidth="1"/>
    <col min="5892" max="5892" width="5.44140625" style="2171" customWidth="1"/>
    <col min="5893" max="5893" width="50.5546875" style="2171" bestFit="1" customWidth="1"/>
    <col min="5894" max="5894" width="56.44140625" style="2171" customWidth="1"/>
    <col min="5895" max="6146" width="10.88671875" style="2171"/>
    <col min="6147" max="6147" width="4.44140625" style="2171" customWidth="1"/>
    <col min="6148" max="6148" width="5.44140625" style="2171" customWidth="1"/>
    <col min="6149" max="6149" width="50.5546875" style="2171" bestFit="1" customWidth="1"/>
    <col min="6150" max="6150" width="56.44140625" style="2171" customWidth="1"/>
    <col min="6151" max="6402" width="10.88671875" style="2171"/>
    <col min="6403" max="6403" width="4.44140625" style="2171" customWidth="1"/>
    <col min="6404" max="6404" width="5.44140625" style="2171" customWidth="1"/>
    <col min="6405" max="6405" width="50.5546875" style="2171" bestFit="1" customWidth="1"/>
    <col min="6406" max="6406" width="56.44140625" style="2171" customWidth="1"/>
    <col min="6407" max="6658" width="10.88671875" style="2171"/>
    <col min="6659" max="6659" width="4.44140625" style="2171" customWidth="1"/>
    <col min="6660" max="6660" width="5.44140625" style="2171" customWidth="1"/>
    <col min="6661" max="6661" width="50.5546875" style="2171" bestFit="1" customWidth="1"/>
    <col min="6662" max="6662" width="56.44140625" style="2171" customWidth="1"/>
    <col min="6663" max="6914" width="10.88671875" style="2171"/>
    <col min="6915" max="6915" width="4.44140625" style="2171" customWidth="1"/>
    <col min="6916" max="6916" width="5.44140625" style="2171" customWidth="1"/>
    <col min="6917" max="6917" width="50.5546875" style="2171" bestFit="1" customWidth="1"/>
    <col min="6918" max="6918" width="56.44140625" style="2171" customWidth="1"/>
    <col min="6919" max="7170" width="10.88671875" style="2171"/>
    <col min="7171" max="7171" width="4.44140625" style="2171" customWidth="1"/>
    <col min="7172" max="7172" width="5.44140625" style="2171" customWidth="1"/>
    <col min="7173" max="7173" width="50.5546875" style="2171" bestFit="1" customWidth="1"/>
    <col min="7174" max="7174" width="56.44140625" style="2171" customWidth="1"/>
    <col min="7175" max="7426" width="10.88671875" style="2171"/>
    <col min="7427" max="7427" width="4.44140625" style="2171" customWidth="1"/>
    <col min="7428" max="7428" width="5.44140625" style="2171" customWidth="1"/>
    <col min="7429" max="7429" width="50.5546875" style="2171" bestFit="1" customWidth="1"/>
    <col min="7430" max="7430" width="56.44140625" style="2171" customWidth="1"/>
    <col min="7431" max="7682" width="10.88671875" style="2171"/>
    <col min="7683" max="7683" width="4.44140625" style="2171" customWidth="1"/>
    <col min="7684" max="7684" width="5.44140625" style="2171" customWidth="1"/>
    <col min="7685" max="7685" width="50.5546875" style="2171" bestFit="1" customWidth="1"/>
    <col min="7686" max="7686" width="56.44140625" style="2171" customWidth="1"/>
    <col min="7687" max="7938" width="10.88671875" style="2171"/>
    <col min="7939" max="7939" width="4.44140625" style="2171" customWidth="1"/>
    <col min="7940" max="7940" width="5.44140625" style="2171" customWidth="1"/>
    <col min="7941" max="7941" width="50.5546875" style="2171" bestFit="1" customWidth="1"/>
    <col min="7942" max="7942" width="56.44140625" style="2171" customWidth="1"/>
    <col min="7943" max="8194" width="10.88671875" style="2171"/>
    <col min="8195" max="8195" width="4.44140625" style="2171" customWidth="1"/>
    <col min="8196" max="8196" width="5.44140625" style="2171" customWidth="1"/>
    <col min="8197" max="8197" width="50.5546875" style="2171" bestFit="1" customWidth="1"/>
    <col min="8198" max="8198" width="56.44140625" style="2171" customWidth="1"/>
    <col min="8199" max="8450" width="10.88671875" style="2171"/>
    <col min="8451" max="8451" width="4.44140625" style="2171" customWidth="1"/>
    <col min="8452" max="8452" width="5.44140625" style="2171" customWidth="1"/>
    <col min="8453" max="8453" width="50.5546875" style="2171" bestFit="1" customWidth="1"/>
    <col min="8454" max="8454" width="56.44140625" style="2171" customWidth="1"/>
    <col min="8455" max="8706" width="10.88671875" style="2171"/>
    <col min="8707" max="8707" width="4.44140625" style="2171" customWidth="1"/>
    <col min="8708" max="8708" width="5.44140625" style="2171" customWidth="1"/>
    <col min="8709" max="8709" width="50.5546875" style="2171" bestFit="1" customWidth="1"/>
    <col min="8710" max="8710" width="56.44140625" style="2171" customWidth="1"/>
    <col min="8711" max="8962" width="10.88671875" style="2171"/>
    <col min="8963" max="8963" width="4.44140625" style="2171" customWidth="1"/>
    <col min="8964" max="8964" width="5.44140625" style="2171" customWidth="1"/>
    <col min="8965" max="8965" width="50.5546875" style="2171" bestFit="1" customWidth="1"/>
    <col min="8966" max="8966" width="56.44140625" style="2171" customWidth="1"/>
    <col min="8967" max="9218" width="10.88671875" style="2171"/>
    <col min="9219" max="9219" width="4.44140625" style="2171" customWidth="1"/>
    <col min="9220" max="9220" width="5.44140625" style="2171" customWidth="1"/>
    <col min="9221" max="9221" width="50.5546875" style="2171" bestFit="1" customWidth="1"/>
    <col min="9222" max="9222" width="56.44140625" style="2171" customWidth="1"/>
    <col min="9223" max="9474" width="10.88671875" style="2171"/>
    <col min="9475" max="9475" width="4.44140625" style="2171" customWidth="1"/>
    <col min="9476" max="9476" width="5.44140625" style="2171" customWidth="1"/>
    <col min="9477" max="9477" width="50.5546875" style="2171" bestFit="1" customWidth="1"/>
    <col min="9478" max="9478" width="56.44140625" style="2171" customWidth="1"/>
    <col min="9479" max="9730" width="10.88671875" style="2171"/>
    <col min="9731" max="9731" width="4.44140625" style="2171" customWidth="1"/>
    <col min="9732" max="9732" width="5.44140625" style="2171" customWidth="1"/>
    <col min="9733" max="9733" width="50.5546875" style="2171" bestFit="1" customWidth="1"/>
    <col min="9734" max="9734" width="56.44140625" style="2171" customWidth="1"/>
    <col min="9735" max="9986" width="10.88671875" style="2171"/>
    <col min="9987" max="9987" width="4.44140625" style="2171" customWidth="1"/>
    <col min="9988" max="9988" width="5.44140625" style="2171" customWidth="1"/>
    <col min="9989" max="9989" width="50.5546875" style="2171" bestFit="1" customWidth="1"/>
    <col min="9990" max="9990" width="56.44140625" style="2171" customWidth="1"/>
    <col min="9991" max="10242" width="10.88671875" style="2171"/>
    <col min="10243" max="10243" width="4.44140625" style="2171" customWidth="1"/>
    <col min="10244" max="10244" width="5.44140625" style="2171" customWidth="1"/>
    <col min="10245" max="10245" width="50.5546875" style="2171" bestFit="1" customWidth="1"/>
    <col min="10246" max="10246" width="56.44140625" style="2171" customWidth="1"/>
    <col min="10247" max="10498" width="10.88671875" style="2171"/>
    <col min="10499" max="10499" width="4.44140625" style="2171" customWidth="1"/>
    <col min="10500" max="10500" width="5.44140625" style="2171" customWidth="1"/>
    <col min="10501" max="10501" width="50.5546875" style="2171" bestFit="1" customWidth="1"/>
    <col min="10502" max="10502" width="56.44140625" style="2171" customWidth="1"/>
    <col min="10503" max="10754" width="10.88671875" style="2171"/>
    <col min="10755" max="10755" width="4.44140625" style="2171" customWidth="1"/>
    <col min="10756" max="10756" width="5.44140625" style="2171" customWidth="1"/>
    <col min="10757" max="10757" width="50.5546875" style="2171" bestFit="1" customWidth="1"/>
    <col min="10758" max="10758" width="56.44140625" style="2171" customWidth="1"/>
    <col min="10759" max="11010" width="10.88671875" style="2171"/>
    <col min="11011" max="11011" width="4.44140625" style="2171" customWidth="1"/>
    <col min="11012" max="11012" width="5.44140625" style="2171" customWidth="1"/>
    <col min="11013" max="11013" width="50.5546875" style="2171" bestFit="1" customWidth="1"/>
    <col min="11014" max="11014" width="56.44140625" style="2171" customWidth="1"/>
    <col min="11015" max="11266" width="10.88671875" style="2171"/>
    <col min="11267" max="11267" width="4.44140625" style="2171" customWidth="1"/>
    <col min="11268" max="11268" width="5.44140625" style="2171" customWidth="1"/>
    <col min="11269" max="11269" width="50.5546875" style="2171" bestFit="1" customWidth="1"/>
    <col min="11270" max="11270" width="56.44140625" style="2171" customWidth="1"/>
    <col min="11271" max="11522" width="10.88671875" style="2171"/>
    <col min="11523" max="11523" width="4.44140625" style="2171" customWidth="1"/>
    <col min="11524" max="11524" width="5.44140625" style="2171" customWidth="1"/>
    <col min="11525" max="11525" width="50.5546875" style="2171" bestFit="1" customWidth="1"/>
    <col min="11526" max="11526" width="56.44140625" style="2171" customWidth="1"/>
    <col min="11527" max="11778" width="10.88671875" style="2171"/>
    <col min="11779" max="11779" width="4.44140625" style="2171" customWidth="1"/>
    <col min="11780" max="11780" width="5.44140625" style="2171" customWidth="1"/>
    <col min="11781" max="11781" width="50.5546875" style="2171" bestFit="1" customWidth="1"/>
    <col min="11782" max="11782" width="56.44140625" style="2171" customWidth="1"/>
    <col min="11783" max="12034" width="10.88671875" style="2171"/>
    <col min="12035" max="12035" width="4.44140625" style="2171" customWidth="1"/>
    <col min="12036" max="12036" width="5.44140625" style="2171" customWidth="1"/>
    <col min="12037" max="12037" width="50.5546875" style="2171" bestFit="1" customWidth="1"/>
    <col min="12038" max="12038" width="56.44140625" style="2171" customWidth="1"/>
    <col min="12039" max="12290" width="10.88671875" style="2171"/>
    <col min="12291" max="12291" width="4.44140625" style="2171" customWidth="1"/>
    <col min="12292" max="12292" width="5.44140625" style="2171" customWidth="1"/>
    <col min="12293" max="12293" width="50.5546875" style="2171" bestFit="1" customWidth="1"/>
    <col min="12294" max="12294" width="56.44140625" style="2171" customWidth="1"/>
    <col min="12295" max="12546" width="10.88671875" style="2171"/>
    <col min="12547" max="12547" width="4.44140625" style="2171" customWidth="1"/>
    <col min="12548" max="12548" width="5.44140625" style="2171" customWidth="1"/>
    <col min="12549" max="12549" width="50.5546875" style="2171" bestFit="1" customWidth="1"/>
    <col min="12550" max="12550" width="56.44140625" style="2171" customWidth="1"/>
    <col min="12551" max="12802" width="10.88671875" style="2171"/>
    <col min="12803" max="12803" width="4.44140625" style="2171" customWidth="1"/>
    <col min="12804" max="12804" width="5.44140625" style="2171" customWidth="1"/>
    <col min="12805" max="12805" width="50.5546875" style="2171" bestFit="1" customWidth="1"/>
    <col min="12806" max="12806" width="56.44140625" style="2171" customWidth="1"/>
    <col min="12807" max="13058" width="10.88671875" style="2171"/>
    <col min="13059" max="13059" width="4.44140625" style="2171" customWidth="1"/>
    <col min="13060" max="13060" width="5.44140625" style="2171" customWidth="1"/>
    <col min="13061" max="13061" width="50.5546875" style="2171" bestFit="1" customWidth="1"/>
    <col min="13062" max="13062" width="56.44140625" style="2171" customWidth="1"/>
    <col min="13063" max="13314" width="10.88671875" style="2171"/>
    <col min="13315" max="13315" width="4.44140625" style="2171" customWidth="1"/>
    <col min="13316" max="13316" width="5.44140625" style="2171" customWidth="1"/>
    <col min="13317" max="13317" width="50.5546875" style="2171" bestFit="1" customWidth="1"/>
    <col min="13318" max="13318" width="56.44140625" style="2171" customWidth="1"/>
    <col min="13319" max="13570" width="10.88671875" style="2171"/>
    <col min="13571" max="13571" width="4.44140625" style="2171" customWidth="1"/>
    <col min="13572" max="13572" width="5.44140625" style="2171" customWidth="1"/>
    <col min="13573" max="13573" width="50.5546875" style="2171" bestFit="1" customWidth="1"/>
    <col min="13574" max="13574" width="56.44140625" style="2171" customWidth="1"/>
    <col min="13575" max="13826" width="10.88671875" style="2171"/>
    <col min="13827" max="13827" width="4.44140625" style="2171" customWidth="1"/>
    <col min="13828" max="13828" width="5.44140625" style="2171" customWidth="1"/>
    <col min="13829" max="13829" width="50.5546875" style="2171" bestFit="1" customWidth="1"/>
    <col min="13830" max="13830" width="56.44140625" style="2171" customWidth="1"/>
    <col min="13831" max="14082" width="10.88671875" style="2171"/>
    <col min="14083" max="14083" width="4.44140625" style="2171" customWidth="1"/>
    <col min="14084" max="14084" width="5.44140625" style="2171" customWidth="1"/>
    <col min="14085" max="14085" width="50.5546875" style="2171" bestFit="1" customWidth="1"/>
    <col min="14086" max="14086" width="56.44140625" style="2171" customWidth="1"/>
    <col min="14087" max="14338" width="10.88671875" style="2171"/>
    <col min="14339" max="14339" width="4.44140625" style="2171" customWidth="1"/>
    <col min="14340" max="14340" width="5.44140625" style="2171" customWidth="1"/>
    <col min="14341" max="14341" width="50.5546875" style="2171" bestFit="1" customWidth="1"/>
    <col min="14342" max="14342" width="56.44140625" style="2171" customWidth="1"/>
    <col min="14343" max="14594" width="10.88671875" style="2171"/>
    <col min="14595" max="14595" width="4.44140625" style="2171" customWidth="1"/>
    <col min="14596" max="14596" width="5.44140625" style="2171" customWidth="1"/>
    <col min="14597" max="14597" width="50.5546875" style="2171" bestFit="1" customWidth="1"/>
    <col min="14598" max="14598" width="56.44140625" style="2171" customWidth="1"/>
    <col min="14599" max="14850" width="10.88671875" style="2171"/>
    <col min="14851" max="14851" width="4.44140625" style="2171" customWidth="1"/>
    <col min="14852" max="14852" width="5.44140625" style="2171" customWidth="1"/>
    <col min="14853" max="14853" width="50.5546875" style="2171" bestFit="1" customWidth="1"/>
    <col min="14854" max="14854" width="56.44140625" style="2171" customWidth="1"/>
    <col min="14855" max="15106" width="10.88671875" style="2171"/>
    <col min="15107" max="15107" width="4.44140625" style="2171" customWidth="1"/>
    <col min="15108" max="15108" width="5.44140625" style="2171" customWidth="1"/>
    <col min="15109" max="15109" width="50.5546875" style="2171" bestFit="1" customWidth="1"/>
    <col min="15110" max="15110" width="56.44140625" style="2171" customWidth="1"/>
    <col min="15111" max="15362" width="10.88671875" style="2171"/>
    <col min="15363" max="15363" width="4.44140625" style="2171" customWidth="1"/>
    <col min="15364" max="15364" width="5.44140625" style="2171" customWidth="1"/>
    <col min="15365" max="15365" width="50.5546875" style="2171" bestFit="1" customWidth="1"/>
    <col min="15366" max="15366" width="56.44140625" style="2171" customWidth="1"/>
    <col min="15367" max="15618" width="10.88671875" style="2171"/>
    <col min="15619" max="15619" width="4.44140625" style="2171" customWidth="1"/>
    <col min="15620" max="15620" width="5.44140625" style="2171" customWidth="1"/>
    <col min="15621" max="15621" width="50.5546875" style="2171" bestFit="1" customWidth="1"/>
    <col min="15622" max="15622" width="56.44140625" style="2171" customWidth="1"/>
    <col min="15623" max="15874" width="10.88671875" style="2171"/>
    <col min="15875" max="15875" width="4.44140625" style="2171" customWidth="1"/>
    <col min="15876" max="15876" width="5.44140625" style="2171" customWidth="1"/>
    <col min="15877" max="15877" width="50.5546875" style="2171" bestFit="1" customWidth="1"/>
    <col min="15878" max="15878" width="56.44140625" style="2171" customWidth="1"/>
    <col min="15879" max="16130" width="10.88671875" style="2171"/>
    <col min="16131" max="16131" width="4.44140625" style="2171" customWidth="1"/>
    <col min="16132" max="16132" width="5.44140625" style="2171" customWidth="1"/>
    <col min="16133" max="16133" width="50.5546875" style="2171" bestFit="1" customWidth="1"/>
    <col min="16134" max="16134" width="56.44140625" style="2171" customWidth="1"/>
    <col min="16135" max="16384" width="10.88671875" style="2171"/>
  </cols>
  <sheetData>
    <row r="1" spans="3:39">
      <c r="C1" s="2371" t="s">
        <v>1823</v>
      </c>
      <c r="D1" s="2371"/>
      <c r="E1" s="2371"/>
      <c r="F1" s="2371"/>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72" t="s">
        <v>1824</v>
      </c>
      <c r="D2" s="2372"/>
      <c r="E2" s="2372"/>
      <c r="F2" s="2372"/>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72"/>
      <c r="D3" s="2172"/>
      <c r="E3" s="2373" t="s">
        <v>4362</v>
      </c>
      <c r="F3" s="2373"/>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73"/>
      <c r="D4" s="2174"/>
      <c r="E4" s="2174"/>
      <c r="F4" s="2175"/>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76" t="s">
        <v>1825</v>
      </c>
      <c r="F5" s="761" t="s">
        <v>1826</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76" t="s">
        <v>1827</v>
      </c>
      <c r="F6" s="761" t="s">
        <v>1828</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76" t="s">
        <v>1829</v>
      </c>
      <c r="F7" s="761" t="s">
        <v>1830</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76" t="s">
        <v>1831</v>
      </c>
      <c r="F8" s="761">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76" t="s">
        <v>1832</v>
      </c>
      <c r="F9" s="761">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74">
        <v>2</v>
      </c>
      <c r="D10" s="760"/>
      <c r="E10" s="2177" t="s">
        <v>1833</v>
      </c>
      <c r="F10" s="2279" t="s">
        <v>2237</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375"/>
      <c r="D11" s="760"/>
      <c r="E11" s="2178" t="s">
        <v>1834</v>
      </c>
      <c r="F11" s="2280" t="s">
        <v>2237</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76" t="s">
        <v>1835</v>
      </c>
      <c r="F12" s="761" t="s">
        <v>1830</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76" t="s">
        <v>1836</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79" t="s">
        <v>1837</v>
      </c>
      <c r="F14" s="2281">
        <v>26822242.739999998</v>
      </c>
    </row>
    <row r="15" spans="3:39">
      <c r="C15" s="762"/>
      <c r="D15" s="1210">
        <v>3.01</v>
      </c>
      <c r="E15" s="2176" t="s">
        <v>1838</v>
      </c>
      <c r="F15" s="764">
        <v>20698803.16</v>
      </c>
    </row>
    <row r="16" spans="3:39">
      <c r="C16" s="762"/>
      <c r="D16" s="1210">
        <v>3.02</v>
      </c>
      <c r="E16" s="2179" t="s">
        <v>1839</v>
      </c>
      <c r="F16" s="764">
        <v>1944879.91</v>
      </c>
    </row>
    <row r="17" spans="3:37">
      <c r="C17" s="762"/>
      <c r="D17" s="1210">
        <v>3.03</v>
      </c>
      <c r="E17" s="2282" t="s">
        <v>1840</v>
      </c>
      <c r="F17" s="764">
        <v>134176.26999999999</v>
      </c>
    </row>
    <row r="18" spans="3:37">
      <c r="C18" s="2180"/>
      <c r="D18" s="1210">
        <v>3.04</v>
      </c>
      <c r="E18" s="2179" t="s">
        <v>1841</v>
      </c>
      <c r="F18" s="764">
        <v>560134.16</v>
      </c>
    </row>
    <row r="19" spans="3:37">
      <c r="C19" s="2180"/>
      <c r="D19" s="1210">
        <v>3.05</v>
      </c>
      <c r="E19" s="2179" t="s">
        <v>1842</v>
      </c>
      <c r="F19" s="764">
        <v>95831.08</v>
      </c>
    </row>
    <row r="20" spans="3:37">
      <c r="C20" s="2180"/>
      <c r="D20" s="1210">
        <v>3.06</v>
      </c>
      <c r="E20" s="2179" t="s">
        <v>1843</v>
      </c>
      <c r="F20" s="764">
        <v>222934.95</v>
      </c>
    </row>
    <row r="21" spans="3:37">
      <c r="C21" s="2180"/>
      <c r="D21" s="1210">
        <v>3.07</v>
      </c>
      <c r="E21" s="2179" t="s">
        <v>1844</v>
      </c>
      <c r="F21" s="764">
        <v>90351.92</v>
      </c>
    </row>
    <row r="22" spans="3:37">
      <c r="C22" s="2180"/>
      <c r="D22" s="1210">
        <v>3.08</v>
      </c>
      <c r="E22" s="2282" t="s">
        <v>1845</v>
      </c>
      <c r="F22" s="764">
        <v>1946691</v>
      </c>
    </row>
    <row r="23" spans="3:37">
      <c r="C23" s="2180"/>
      <c r="D23" s="1210">
        <v>3.09</v>
      </c>
      <c r="E23" s="2179" t="s">
        <v>1846</v>
      </c>
      <c r="F23" s="764">
        <v>203328.92</v>
      </c>
    </row>
    <row r="24" spans="3:37">
      <c r="C24" s="2180"/>
      <c r="D24" s="1210">
        <v>3.1</v>
      </c>
      <c r="E24" s="2179" t="s">
        <v>2238</v>
      </c>
      <c r="F24" s="764">
        <v>281600</v>
      </c>
    </row>
    <row r="25" spans="3:37">
      <c r="C25" s="2180"/>
      <c r="D25" s="1210">
        <v>3.11</v>
      </c>
      <c r="E25" s="2179" t="s">
        <v>2239</v>
      </c>
      <c r="F25" s="764">
        <v>633159.44999999995</v>
      </c>
      <c r="G25" s="2181"/>
      <c r="H25" s="2181"/>
    </row>
    <row r="26" spans="3:37">
      <c r="C26" s="2182">
        <v>4</v>
      </c>
      <c r="D26" s="2176"/>
      <c r="E26" s="2176" t="s">
        <v>1847</v>
      </c>
      <c r="F26" s="761"/>
      <c r="G26" s="2183"/>
      <c r="H26" s="2183"/>
      <c r="I26" s="2184"/>
      <c r="J26" s="2185"/>
      <c r="K26" s="2186"/>
      <c r="L26" s="2186"/>
      <c r="M26" s="2186"/>
      <c r="N26" s="2186"/>
      <c r="O26" s="2186"/>
      <c r="P26" s="2186"/>
      <c r="Q26" s="2186"/>
      <c r="R26" s="2186"/>
      <c r="S26" s="2186"/>
      <c r="T26" s="2186"/>
      <c r="U26" s="2186"/>
      <c r="V26" s="2186"/>
      <c r="W26" s="2186"/>
      <c r="X26" s="2186"/>
      <c r="Y26" s="2186"/>
      <c r="Z26" s="2186"/>
      <c r="AA26" s="2186"/>
      <c r="AB26" s="2186"/>
      <c r="AC26" s="2186"/>
      <c r="AD26" s="2186"/>
      <c r="AE26" s="2186"/>
      <c r="AF26" s="2186"/>
      <c r="AG26" s="2186"/>
      <c r="AH26" s="2186"/>
      <c r="AI26" s="2186"/>
      <c r="AJ26" s="2186"/>
      <c r="AK26" s="2186"/>
    </row>
    <row r="27" spans="3:37">
      <c r="C27" s="2180"/>
      <c r="D27" s="763">
        <v>4.0999999999999996</v>
      </c>
      <c r="E27" s="2176" t="s">
        <v>1848</v>
      </c>
      <c r="F27" s="2283" t="s">
        <v>4334</v>
      </c>
      <c r="G27" s="2183"/>
      <c r="H27" s="2183"/>
      <c r="I27" s="2184"/>
      <c r="J27" s="2185"/>
      <c r="K27" s="2186"/>
      <c r="L27" s="2186"/>
      <c r="M27" s="2186"/>
      <c r="N27" s="2186"/>
      <c r="O27" s="2186"/>
      <c r="P27" s="2186"/>
      <c r="Q27" s="2186"/>
      <c r="R27" s="2186"/>
      <c r="S27" s="2186"/>
      <c r="T27" s="2186"/>
      <c r="U27" s="2186"/>
      <c r="V27" s="2186"/>
      <c r="W27" s="2186"/>
      <c r="X27" s="2186"/>
      <c r="Y27" s="2186"/>
      <c r="Z27" s="2186"/>
      <c r="AA27" s="2186"/>
      <c r="AB27" s="2186"/>
      <c r="AC27" s="2186"/>
      <c r="AD27" s="2186"/>
      <c r="AE27" s="2186"/>
      <c r="AF27" s="2186"/>
      <c r="AG27" s="2186"/>
      <c r="AH27" s="2186"/>
      <c r="AI27" s="2186"/>
      <c r="AJ27" s="2186"/>
      <c r="AK27" s="2186"/>
    </row>
    <row r="28" spans="3:37">
      <c r="C28" s="2180"/>
      <c r="D28" s="763">
        <v>4.2</v>
      </c>
      <c r="E28" s="2176" t="s">
        <v>7</v>
      </c>
      <c r="F28" s="2284" t="s">
        <v>4335</v>
      </c>
      <c r="G28" s="2187"/>
      <c r="H28" s="2187"/>
      <c r="I28" s="2184"/>
      <c r="J28" s="2185"/>
      <c r="K28" s="2186"/>
      <c r="L28" s="2186"/>
      <c r="M28" s="2186"/>
      <c r="N28" s="2186"/>
      <c r="O28" s="2186"/>
      <c r="P28" s="2186"/>
      <c r="Q28" s="2186"/>
      <c r="R28" s="2186"/>
      <c r="S28" s="2186"/>
      <c r="T28" s="2186"/>
      <c r="U28" s="2186"/>
      <c r="V28" s="2186"/>
      <c r="W28" s="2186"/>
      <c r="X28" s="2186"/>
      <c r="Y28" s="2186"/>
      <c r="Z28" s="2186"/>
      <c r="AA28" s="2186"/>
      <c r="AB28" s="2186"/>
      <c r="AC28" s="2186"/>
      <c r="AD28" s="2186"/>
      <c r="AE28" s="2186"/>
      <c r="AF28" s="2186"/>
      <c r="AG28" s="2186"/>
      <c r="AH28" s="2186"/>
      <c r="AI28" s="2186"/>
      <c r="AJ28" s="2186"/>
      <c r="AK28" s="2186"/>
    </row>
    <row r="29" spans="3:37">
      <c r="C29" s="2180"/>
      <c r="D29" s="763">
        <v>4.3</v>
      </c>
      <c r="E29" s="2176" t="s">
        <v>1850</v>
      </c>
      <c r="F29" s="2285"/>
      <c r="G29" s="2187"/>
      <c r="H29" s="2187"/>
      <c r="I29" s="2184"/>
      <c r="J29" s="2366"/>
      <c r="K29" s="2366"/>
      <c r="L29" s="2366"/>
      <c r="M29" s="2366"/>
      <c r="N29" s="2366"/>
      <c r="O29" s="2366"/>
      <c r="P29" s="2366"/>
      <c r="Q29" s="2366"/>
      <c r="R29" s="2366"/>
      <c r="S29" s="2366"/>
      <c r="T29" s="2366"/>
      <c r="U29" s="2366"/>
      <c r="V29" s="2366"/>
      <c r="W29" s="2366"/>
      <c r="X29" s="2366"/>
      <c r="Y29" s="2366"/>
      <c r="Z29" s="2366"/>
      <c r="AA29" s="2366"/>
      <c r="AB29" s="2366"/>
      <c r="AC29" s="2366"/>
      <c r="AD29" s="2366"/>
      <c r="AE29" s="2366"/>
      <c r="AF29" s="2366"/>
      <c r="AG29" s="2366"/>
      <c r="AH29" s="2366"/>
      <c r="AI29" s="2366"/>
      <c r="AJ29" s="2366"/>
      <c r="AK29" s="2366"/>
    </row>
    <row r="30" spans="3:37" ht="51.6" customHeight="1">
      <c r="C30" s="2180"/>
      <c r="D30" s="763">
        <v>4.4000000000000004</v>
      </c>
      <c r="E30" s="2177" t="s">
        <v>6</v>
      </c>
      <c r="F30" s="1211" t="s">
        <v>2237</v>
      </c>
      <c r="G30" s="2187"/>
      <c r="H30" s="2187"/>
      <c r="I30" s="2184"/>
      <c r="J30" s="2366"/>
      <c r="K30" s="2366"/>
      <c r="L30" s="2366"/>
      <c r="M30" s="2366"/>
      <c r="N30" s="2366"/>
      <c r="O30" s="2366"/>
      <c r="P30" s="2366"/>
      <c r="Q30" s="2366"/>
      <c r="R30" s="2366"/>
      <c r="S30" s="2366"/>
      <c r="T30" s="2366"/>
      <c r="U30" s="2366"/>
      <c r="V30" s="2366"/>
      <c r="W30" s="2366"/>
      <c r="X30" s="2366"/>
      <c r="Y30" s="2366"/>
      <c r="Z30" s="2366"/>
      <c r="AA30" s="2366"/>
      <c r="AB30" s="2366"/>
      <c r="AC30" s="2366"/>
      <c r="AD30" s="2366"/>
      <c r="AE30" s="2366"/>
      <c r="AF30" s="2366"/>
      <c r="AG30" s="2366"/>
      <c r="AH30" s="2366"/>
      <c r="AI30" s="2366"/>
      <c r="AJ30" s="2366"/>
      <c r="AK30" s="2366"/>
    </row>
    <row r="31" spans="3:37">
      <c r="C31" s="2180"/>
      <c r="D31" s="763">
        <v>4.5</v>
      </c>
      <c r="E31" s="2176" t="s">
        <v>5</v>
      </c>
      <c r="F31" s="1212" t="s">
        <v>2245</v>
      </c>
      <c r="G31" s="2188"/>
      <c r="H31" s="2188"/>
      <c r="I31" s="2184"/>
      <c r="J31" s="2185"/>
      <c r="K31" s="2186"/>
      <c r="L31" s="2186"/>
      <c r="M31" s="2186"/>
      <c r="N31" s="2186"/>
      <c r="O31" s="2186"/>
      <c r="P31" s="2186"/>
      <c r="Q31" s="2186"/>
      <c r="R31" s="2186"/>
      <c r="S31" s="2186"/>
      <c r="T31" s="2186"/>
      <c r="U31" s="2186"/>
      <c r="V31" s="2186"/>
      <c r="W31" s="2186"/>
      <c r="X31" s="2186"/>
      <c r="Y31" s="2186"/>
      <c r="Z31" s="2186"/>
      <c r="AA31" s="2186"/>
      <c r="AB31" s="2186"/>
      <c r="AC31" s="2186"/>
      <c r="AD31" s="2186"/>
      <c r="AE31" s="2186"/>
      <c r="AF31" s="2186"/>
      <c r="AG31" s="2186"/>
      <c r="AH31" s="2186"/>
      <c r="AI31" s="2186"/>
      <c r="AJ31" s="2186"/>
      <c r="AK31" s="2186"/>
    </row>
    <row r="32" spans="3:37">
      <c r="C32" s="2180"/>
      <c r="D32" s="763">
        <v>4.5999999999999996</v>
      </c>
      <c r="E32" s="2189" t="s">
        <v>1851</v>
      </c>
      <c r="F32" s="765" t="s">
        <v>4292</v>
      </c>
      <c r="G32" s="2187"/>
      <c r="H32" s="2187"/>
      <c r="I32" s="2184"/>
      <c r="J32" s="2190"/>
      <c r="K32" s="2186"/>
      <c r="L32" s="2186"/>
      <c r="M32" s="2186"/>
      <c r="N32" s="2186"/>
      <c r="O32" s="2186"/>
      <c r="P32" s="2186"/>
      <c r="Q32" s="2186"/>
      <c r="R32" s="2186"/>
      <c r="S32" s="2186"/>
      <c r="T32" s="2186"/>
      <c r="U32" s="2186"/>
      <c r="V32" s="2186"/>
      <c r="W32" s="2186"/>
      <c r="X32" s="2186"/>
      <c r="Y32" s="2186"/>
      <c r="Z32" s="2186"/>
      <c r="AA32" s="2186"/>
      <c r="AB32" s="2186"/>
      <c r="AC32" s="2186"/>
      <c r="AD32" s="2186"/>
      <c r="AE32" s="2186"/>
      <c r="AF32" s="2186"/>
      <c r="AG32" s="2186"/>
      <c r="AH32" s="2186"/>
      <c r="AI32" s="2186"/>
      <c r="AJ32" s="2186"/>
      <c r="AK32" s="2186"/>
    </row>
    <row r="33" spans="3:37">
      <c r="C33" s="2180"/>
      <c r="D33" s="763">
        <v>4.7</v>
      </c>
      <c r="E33" s="2176" t="s">
        <v>1852</v>
      </c>
      <c r="F33" s="761" t="s">
        <v>1853</v>
      </c>
      <c r="G33" s="2187"/>
      <c r="H33" s="2183"/>
      <c r="I33" s="2184"/>
      <c r="J33" s="2185"/>
      <c r="K33" s="2186"/>
      <c r="L33" s="2186"/>
      <c r="M33" s="2186"/>
      <c r="N33" s="2186"/>
      <c r="O33" s="2186"/>
      <c r="P33" s="2186"/>
      <c r="Q33" s="2186"/>
      <c r="R33" s="2186"/>
      <c r="S33" s="2186"/>
      <c r="T33" s="2186"/>
      <c r="U33" s="2186"/>
      <c r="V33" s="2186"/>
      <c r="W33" s="2186"/>
      <c r="X33" s="2186"/>
      <c r="Y33" s="2186"/>
      <c r="Z33" s="2186"/>
      <c r="AA33" s="2186"/>
      <c r="AB33" s="2186"/>
      <c r="AC33" s="2186"/>
      <c r="AD33" s="2186"/>
      <c r="AE33" s="2186"/>
      <c r="AF33" s="2186"/>
      <c r="AG33" s="2186"/>
      <c r="AH33" s="2186"/>
      <c r="AI33" s="2186"/>
      <c r="AJ33" s="2186"/>
      <c r="AK33" s="2186"/>
    </row>
    <row r="34" spans="3:37">
      <c r="C34" s="2180"/>
      <c r="D34" s="763">
        <v>4.8</v>
      </c>
      <c r="E34" s="2176" t="s">
        <v>1854</v>
      </c>
      <c r="F34" s="761" t="s">
        <v>11</v>
      </c>
    </row>
    <row r="35" spans="3:37">
      <c r="C35" s="2180">
        <v>5</v>
      </c>
      <c r="D35" s="2176"/>
      <c r="E35" s="2179" t="s">
        <v>1855</v>
      </c>
      <c r="F35" s="761" t="s">
        <v>2240</v>
      </c>
    </row>
    <row r="36" spans="3:37">
      <c r="C36" s="2180">
        <v>6</v>
      </c>
      <c r="D36" s="2176"/>
      <c r="E36" s="2176" t="s">
        <v>1856</v>
      </c>
      <c r="F36" s="761">
        <v>810</v>
      </c>
    </row>
    <row r="37" spans="3:37">
      <c r="C37" s="2180">
        <v>7</v>
      </c>
      <c r="D37" s="2176"/>
      <c r="E37" s="2241" t="s">
        <v>4340</v>
      </c>
      <c r="F37" s="761" t="s">
        <v>2241</v>
      </c>
    </row>
    <row r="38" spans="3:37">
      <c r="C38" s="2180"/>
      <c r="D38" s="2176">
        <v>7.1</v>
      </c>
      <c r="E38" s="2179" t="s">
        <v>1857</v>
      </c>
      <c r="F38" s="761" t="s">
        <v>2242</v>
      </c>
    </row>
    <row r="39" spans="3:37">
      <c r="C39" s="2180"/>
      <c r="D39" s="2176">
        <v>7.2</v>
      </c>
      <c r="E39" s="2176" t="s">
        <v>1859</v>
      </c>
      <c r="F39" s="761"/>
    </row>
    <row r="40" spans="3:37">
      <c r="C40" s="2180"/>
      <c r="D40" s="2176">
        <v>7.3</v>
      </c>
      <c r="E40" s="2176" t="s">
        <v>1860</v>
      </c>
      <c r="F40" s="761">
        <v>8760</v>
      </c>
    </row>
    <row r="41" spans="3:37">
      <c r="C41" s="2180"/>
      <c r="D41" s="2176">
        <v>7.4</v>
      </c>
      <c r="E41" s="2176" t="s">
        <v>1827</v>
      </c>
      <c r="F41" s="761"/>
    </row>
    <row r="42" spans="3:37">
      <c r="C42" s="2180"/>
      <c r="D42" s="2176">
        <v>7.5</v>
      </c>
      <c r="E42" s="2176" t="s">
        <v>1861</v>
      </c>
      <c r="F42" s="761"/>
    </row>
    <row r="43" spans="3:37">
      <c r="C43" s="2180">
        <v>8</v>
      </c>
      <c r="D43" s="2176"/>
      <c r="E43" s="2176" t="s">
        <v>1862</v>
      </c>
      <c r="F43" s="761" t="s">
        <v>2234</v>
      </c>
    </row>
    <row r="44" spans="3:37">
      <c r="C44" s="2180"/>
      <c r="D44" s="2176">
        <v>8.1</v>
      </c>
      <c r="E44" s="2179" t="s">
        <v>1857</v>
      </c>
      <c r="F44" s="761" t="s">
        <v>1858</v>
      </c>
    </row>
    <row r="45" spans="3:37">
      <c r="C45" s="2180"/>
      <c r="D45" s="2176">
        <v>8.1999999999999993</v>
      </c>
      <c r="E45" s="2176" t="s">
        <v>1859</v>
      </c>
      <c r="F45" s="761">
        <v>42302162</v>
      </c>
    </row>
    <row r="46" spans="3:37">
      <c r="C46" s="2180"/>
      <c r="D46" s="2176">
        <v>8.3000000000000007</v>
      </c>
      <c r="E46" s="2176" t="s">
        <v>1860</v>
      </c>
      <c r="F46" s="761">
        <v>110618</v>
      </c>
    </row>
    <row r="47" spans="3:37">
      <c r="C47" s="2180"/>
      <c r="D47" s="2176">
        <v>8.4</v>
      </c>
      <c r="E47" s="2176" t="s">
        <v>1827</v>
      </c>
      <c r="F47" s="761" t="s">
        <v>2235</v>
      </c>
    </row>
    <row r="48" spans="3:37">
      <c r="C48" s="2180"/>
      <c r="D48" s="2176">
        <v>8.5</v>
      </c>
      <c r="E48" s="2176" t="s">
        <v>1861</v>
      </c>
      <c r="F48" s="761">
        <v>937749003</v>
      </c>
    </row>
    <row r="49" spans="3:6">
      <c r="C49" s="2180">
        <v>9</v>
      </c>
      <c r="D49" s="2176"/>
      <c r="E49" s="2176" t="s">
        <v>1863</v>
      </c>
      <c r="F49" s="761"/>
    </row>
    <row r="50" spans="3:6" ht="15" customHeight="1">
      <c r="C50" s="2180"/>
      <c r="D50" s="2191">
        <v>9.1</v>
      </c>
      <c r="E50" s="2367" t="s">
        <v>2243</v>
      </c>
      <c r="F50" s="2368"/>
    </row>
    <row r="51" spans="3:6">
      <c r="C51" s="2180"/>
      <c r="D51" s="2192"/>
      <c r="E51" s="2367"/>
      <c r="F51" s="2368"/>
    </row>
    <row r="52" spans="3:6">
      <c r="C52" s="2180"/>
      <c r="D52" s="2192"/>
      <c r="E52" s="2367"/>
      <c r="F52" s="2368"/>
    </row>
    <row r="53" spans="3:6">
      <c r="C53" s="2180"/>
      <c r="D53" s="2192"/>
      <c r="E53" s="2367"/>
      <c r="F53" s="2368"/>
    </row>
    <row r="54" spans="3:6">
      <c r="C54" s="2180"/>
      <c r="D54" s="2192"/>
      <c r="E54" s="2367"/>
      <c r="F54" s="2368"/>
    </row>
    <row r="55" spans="3:6">
      <c r="C55" s="2180"/>
      <c r="D55" s="2192"/>
      <c r="E55" s="2367"/>
      <c r="F55" s="2368"/>
    </row>
    <row r="56" spans="3:6">
      <c r="C56" s="2180"/>
      <c r="D56" s="2192"/>
      <c r="E56" s="2367"/>
      <c r="F56" s="2368"/>
    </row>
    <row r="57" spans="3:6">
      <c r="C57" s="2180"/>
      <c r="D57" s="2192"/>
      <c r="E57" s="2367"/>
      <c r="F57" s="2368"/>
    </row>
    <row r="58" spans="3:6">
      <c r="C58" s="2180"/>
      <c r="D58" s="2192"/>
      <c r="E58" s="2367"/>
      <c r="F58" s="2368"/>
    </row>
    <row r="59" spans="3:6">
      <c r="C59" s="2180"/>
      <c r="D59" s="2192"/>
      <c r="E59" s="2367"/>
      <c r="F59" s="2368"/>
    </row>
    <row r="60" spans="3:6">
      <c r="C60" s="2180"/>
      <c r="D60" s="2192"/>
      <c r="E60" s="2367"/>
      <c r="F60" s="2368"/>
    </row>
    <row r="61" spans="3:6">
      <c r="C61" s="2180"/>
      <c r="D61" s="2192"/>
      <c r="E61" s="2367"/>
      <c r="F61" s="2368"/>
    </row>
    <row r="62" spans="3:6">
      <c r="C62" s="2180"/>
      <c r="D62" s="2192"/>
      <c r="E62" s="2367"/>
      <c r="F62" s="2368"/>
    </row>
    <row r="63" spans="3:6">
      <c r="C63" s="2180"/>
      <c r="D63" s="2192"/>
      <c r="E63" s="2367"/>
      <c r="F63" s="2368"/>
    </row>
    <row r="64" spans="3:6">
      <c r="C64" s="2180"/>
      <c r="D64" s="2192"/>
      <c r="E64" s="2367"/>
      <c r="F64" s="2368"/>
    </row>
    <row r="65" spans="3:6">
      <c r="C65" s="2180"/>
      <c r="D65" s="2192"/>
      <c r="E65" s="2367"/>
      <c r="F65" s="2368"/>
    </row>
    <row r="66" spans="3:6">
      <c r="C66" s="2180"/>
      <c r="D66" s="2192"/>
      <c r="E66" s="2367"/>
      <c r="F66" s="2368"/>
    </row>
    <row r="67" spans="3:6">
      <c r="C67" s="2180"/>
      <c r="D67" s="2192"/>
      <c r="E67" s="2367"/>
      <c r="F67" s="2368"/>
    </row>
    <row r="68" spans="3:6">
      <c r="C68" s="2180"/>
      <c r="D68" s="2192"/>
      <c r="E68" s="2367"/>
      <c r="F68" s="2368"/>
    </row>
    <row r="69" spans="3:6">
      <c r="C69" s="2180"/>
      <c r="D69" s="2192"/>
      <c r="E69" s="2367"/>
      <c r="F69" s="2368"/>
    </row>
    <row r="70" spans="3:6">
      <c r="C70" s="2180"/>
      <c r="D70" s="2192"/>
      <c r="E70" s="2367"/>
      <c r="F70" s="2368"/>
    </row>
    <row r="71" spans="3:6">
      <c r="C71" s="2180"/>
      <c r="D71" s="2192"/>
      <c r="E71" s="2367"/>
      <c r="F71" s="2368"/>
    </row>
    <row r="72" spans="3:6">
      <c r="C72" s="2180"/>
      <c r="D72" s="2192"/>
      <c r="E72" s="2367"/>
      <c r="F72" s="2368"/>
    </row>
    <row r="73" spans="3:6">
      <c r="C73" s="2180"/>
      <c r="D73" s="2192"/>
      <c r="E73" s="2367"/>
      <c r="F73" s="2368"/>
    </row>
    <row r="74" spans="3:6">
      <c r="C74" s="2180"/>
      <c r="D74" s="2192"/>
      <c r="E74" s="2367"/>
      <c r="F74" s="2368"/>
    </row>
    <row r="75" spans="3:6">
      <c r="C75" s="2180"/>
      <c r="D75" s="2192"/>
      <c r="E75" s="2367"/>
      <c r="F75" s="2368"/>
    </row>
    <row r="76" spans="3:6">
      <c r="C76" s="2180"/>
      <c r="D76" s="2192"/>
      <c r="E76" s="2367"/>
      <c r="F76" s="2368"/>
    </row>
    <row r="77" spans="3:6">
      <c r="C77" s="2180"/>
      <c r="D77" s="2192"/>
      <c r="E77" s="2367"/>
      <c r="F77" s="2368"/>
    </row>
    <row r="78" spans="3:6">
      <c r="C78" s="2180"/>
      <c r="D78" s="2192"/>
      <c r="E78" s="2367"/>
      <c r="F78" s="2368"/>
    </row>
    <row r="79" spans="3:6">
      <c r="C79" s="2180"/>
      <c r="D79" s="2192"/>
      <c r="E79" s="2367"/>
      <c r="F79" s="2368"/>
    </row>
    <row r="80" spans="3:6">
      <c r="C80" s="2180"/>
      <c r="D80" s="2192"/>
      <c r="E80" s="2367"/>
      <c r="F80" s="2368"/>
    </row>
    <row r="81" spans="3:6">
      <c r="C81" s="2180"/>
      <c r="D81" s="2192"/>
      <c r="E81" s="2367"/>
      <c r="F81" s="2368"/>
    </row>
    <row r="82" spans="3:6">
      <c r="C82" s="2180"/>
      <c r="D82" s="2192"/>
      <c r="E82" s="2367"/>
      <c r="F82" s="2368"/>
    </row>
    <row r="83" spans="3:6">
      <c r="C83" s="2180"/>
      <c r="D83" s="2192"/>
      <c r="E83" s="2367"/>
      <c r="F83" s="2368"/>
    </row>
    <row r="84" spans="3:6">
      <c r="C84" s="2180"/>
      <c r="D84" s="2192"/>
      <c r="E84" s="2367"/>
      <c r="F84" s="2368"/>
    </row>
    <row r="85" spans="3:6" ht="15" thickBot="1">
      <c r="C85" s="2286"/>
      <c r="D85" s="2287"/>
      <c r="E85" s="2369"/>
      <c r="F85" s="2370"/>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31" zoomScaleNormal="100" zoomScaleSheetLayoutView="100" workbookViewId="0">
      <selection activeCell="E36" sqref="E36"/>
    </sheetView>
  </sheetViews>
  <sheetFormatPr baseColWidth="10" defaultRowHeight="13.2"/>
  <sheetData>
    <row r="1" spans="1:8" ht="18">
      <c r="A1" s="2385"/>
      <c r="B1" s="2385"/>
      <c r="C1" s="2385"/>
      <c r="D1" s="2385"/>
      <c r="E1" s="2385"/>
      <c r="F1" s="2385"/>
      <c r="G1" s="2385"/>
      <c r="H1" s="2385"/>
    </row>
    <row r="2" spans="1:8" ht="18.600000000000001">
      <c r="A2" s="2386" t="s">
        <v>67</v>
      </c>
      <c r="B2" s="2386"/>
      <c r="C2" s="2386"/>
      <c r="D2" s="2386"/>
      <c r="E2" s="2386"/>
      <c r="F2" s="2386"/>
      <c r="G2" s="2386"/>
      <c r="H2" s="1306"/>
    </row>
    <row r="3" spans="1:8">
      <c r="A3" s="2387" t="s">
        <v>3586</v>
      </c>
      <c r="B3" s="2387"/>
      <c r="C3" s="2387"/>
      <c r="D3" s="2387"/>
      <c r="E3" s="2387"/>
      <c r="F3" s="2387"/>
      <c r="G3" s="2387"/>
      <c r="H3" s="1306"/>
    </row>
    <row r="4" spans="1:8">
      <c r="A4" s="2388" t="s">
        <v>3587</v>
      </c>
      <c r="B4" s="2388"/>
      <c r="C4" s="2388"/>
      <c r="D4" s="2388"/>
      <c r="E4" s="2388"/>
      <c r="F4" s="2388"/>
      <c r="G4" s="2388"/>
      <c r="H4" s="1306"/>
    </row>
    <row r="5" spans="1:8" ht="20.399999999999999">
      <c r="A5" s="2389" t="s">
        <v>3588</v>
      </c>
      <c r="B5" s="2389"/>
      <c r="C5" s="2389"/>
      <c r="D5" s="2389"/>
      <c r="E5" s="2389"/>
      <c r="F5" s="2389"/>
      <c r="G5" s="2389"/>
      <c r="H5" s="1307"/>
    </row>
    <row r="6" spans="1:8" ht="20.399999999999999">
      <c r="A6" s="2390" t="s">
        <v>4367</v>
      </c>
      <c r="B6" s="2390"/>
      <c r="C6" s="2390"/>
      <c r="D6" s="2390"/>
      <c r="E6" s="2390"/>
      <c r="F6" s="2390"/>
      <c r="G6" s="2390"/>
      <c r="H6" s="1307"/>
    </row>
    <row r="7" spans="1:8">
      <c r="A7" s="1306"/>
      <c r="B7" s="1306"/>
      <c r="C7" s="1306"/>
      <c r="D7" s="1306"/>
      <c r="E7" s="1306"/>
      <c r="F7" s="1306"/>
      <c r="G7" s="1306"/>
      <c r="H7" s="1306"/>
    </row>
    <row r="8" spans="1:8" ht="13.8">
      <c r="A8" s="1308">
        <v>4.0999999999999996</v>
      </c>
      <c r="B8" s="2391" t="s">
        <v>3589</v>
      </c>
      <c r="C8" s="2391"/>
      <c r="D8" s="2391"/>
      <c r="E8" s="1309"/>
      <c r="F8" s="1309"/>
      <c r="G8" s="1309"/>
      <c r="H8" s="1310"/>
    </row>
    <row r="9" spans="1:8" ht="13.8">
      <c r="A9" s="1308"/>
      <c r="B9" s="1309"/>
      <c r="C9" s="1309"/>
      <c r="D9" s="1309"/>
      <c r="E9" s="1309"/>
      <c r="F9" s="1309"/>
      <c r="G9" s="1309"/>
      <c r="H9" s="1310"/>
    </row>
    <row r="10" spans="1:8" ht="245.85" customHeight="1">
      <c r="A10" s="1309"/>
      <c r="B10" s="2392" t="s">
        <v>3590</v>
      </c>
      <c r="C10" s="2392"/>
      <c r="D10" s="2392"/>
      <c r="E10" s="2392"/>
      <c r="F10" s="2392"/>
      <c r="G10" s="2392"/>
      <c r="H10" s="1310"/>
    </row>
    <row r="11" spans="1:8" ht="13.8">
      <c r="A11" s="1308">
        <v>4.2</v>
      </c>
      <c r="B11" s="2391" t="s">
        <v>3591</v>
      </c>
      <c r="C11" s="2391"/>
      <c r="D11" s="2391"/>
      <c r="E11" s="2391"/>
      <c r="F11" s="1311"/>
      <c r="G11" s="1311"/>
      <c r="H11" s="1310"/>
    </row>
    <row r="12" spans="1:8" ht="33.75" customHeight="1">
      <c r="A12" s="1309"/>
      <c r="B12" s="2393" t="s">
        <v>3592</v>
      </c>
      <c r="C12" s="2393"/>
      <c r="D12" s="2393"/>
      <c r="E12" s="2393"/>
      <c r="F12" s="2393"/>
      <c r="G12" s="2393"/>
      <c r="H12" s="1310"/>
    </row>
    <row r="13" spans="1:8" ht="13.8">
      <c r="A13" s="1308">
        <v>4.3</v>
      </c>
      <c r="B13" s="1309" t="s">
        <v>3593</v>
      </c>
      <c r="C13" s="1309"/>
      <c r="D13" s="1309"/>
      <c r="E13" s="1311"/>
      <c r="F13" s="1311"/>
      <c r="G13" s="1311"/>
      <c r="H13" s="1310"/>
    </row>
    <row r="14" spans="1:8" ht="13.8">
      <c r="A14" s="1308"/>
      <c r="B14" s="1309"/>
      <c r="C14" s="1309"/>
      <c r="D14" s="1309"/>
      <c r="E14" s="1311"/>
      <c r="F14" s="1311"/>
      <c r="G14" s="1311"/>
      <c r="H14" s="1310"/>
    </row>
    <row r="15" spans="1:8" ht="87.75" customHeight="1">
      <c r="A15" s="1309"/>
      <c r="B15" s="2394" t="s">
        <v>3594</v>
      </c>
      <c r="C15" s="2394"/>
      <c r="D15" s="2394"/>
      <c r="E15" s="2394"/>
      <c r="F15" s="2394"/>
      <c r="G15" s="2394"/>
      <c r="H15" s="1310"/>
    </row>
    <row r="16" spans="1:8" ht="26.25" customHeight="1">
      <c r="A16" s="1309"/>
      <c r="B16" s="1311"/>
      <c r="C16" s="1311"/>
      <c r="D16" s="1311"/>
      <c r="E16" s="1311"/>
      <c r="F16" s="1311"/>
      <c r="G16" s="1311"/>
      <c r="H16" s="1310"/>
    </row>
    <row r="17" spans="1:8" ht="13.8">
      <c r="A17" s="1308">
        <v>4.4000000000000004</v>
      </c>
      <c r="B17" s="1312" t="s">
        <v>3595</v>
      </c>
      <c r="C17" s="1312"/>
      <c r="D17" s="1313"/>
      <c r="E17" s="1313"/>
      <c r="F17" s="1313"/>
      <c r="G17" s="1313"/>
      <c r="H17" s="1310"/>
    </row>
    <row r="18" spans="1:8" ht="13.8">
      <c r="A18" s="1308"/>
      <c r="B18" s="1314"/>
      <c r="C18" s="1314"/>
      <c r="D18" s="1314"/>
      <c r="E18" s="1314"/>
      <c r="F18" s="1314"/>
      <c r="G18" s="1314"/>
      <c r="H18" s="1310"/>
    </row>
    <row r="19" spans="1:8" ht="104.25" customHeight="1">
      <c r="A19" s="1309"/>
      <c r="B19" s="2384" t="s">
        <v>3596</v>
      </c>
      <c r="C19" s="2384"/>
      <c r="D19" s="2384"/>
      <c r="E19" s="2384"/>
      <c r="F19" s="2384"/>
      <c r="G19" s="2384"/>
      <c r="H19" s="1315"/>
    </row>
    <row r="20" spans="1:8" ht="13.8">
      <c r="A20" s="1309"/>
      <c r="B20" s="1316"/>
      <c r="C20" s="1316"/>
      <c r="D20" s="1316"/>
      <c r="E20" s="1316"/>
      <c r="F20" s="1316"/>
      <c r="G20" s="1316"/>
      <c r="H20" s="1315"/>
    </row>
    <row r="21" spans="1:8" ht="13.8">
      <c r="A21" s="1309"/>
      <c r="B21" s="1317" t="s">
        <v>3597</v>
      </c>
      <c r="C21" s="1316"/>
      <c r="D21" s="1316"/>
      <c r="E21" s="1316"/>
      <c r="F21" s="1316"/>
      <c r="G21" s="1316"/>
      <c r="H21" s="1315"/>
    </row>
    <row r="22" spans="1:8" ht="13.8">
      <c r="A22" s="1309"/>
      <c r="B22" s="1318" t="s">
        <v>3598</v>
      </c>
      <c r="C22" s="2376" t="s">
        <v>3599</v>
      </c>
      <c r="D22" s="2376"/>
      <c r="E22" s="1318" t="s">
        <v>3600</v>
      </c>
      <c r="F22" s="1318" t="s">
        <v>3</v>
      </c>
      <c r="G22" s="1319"/>
      <c r="H22" s="1315"/>
    </row>
    <row r="23" spans="1:8" ht="13.8">
      <c r="A23" s="1309"/>
      <c r="B23" s="1320">
        <v>1</v>
      </c>
      <c r="C23" s="2377" t="s">
        <v>3601</v>
      </c>
      <c r="D23" s="2377"/>
      <c r="E23" s="1320" t="s">
        <v>276</v>
      </c>
      <c r="F23" s="1321">
        <v>2673.88</v>
      </c>
      <c r="G23" s="1319"/>
      <c r="H23" s="1315"/>
    </row>
    <row r="24" spans="1:8" ht="13.8">
      <c r="A24" s="1309"/>
      <c r="B24" s="1320">
        <v>2</v>
      </c>
      <c r="C24" s="2377" t="s">
        <v>3602</v>
      </c>
      <c r="D24" s="2377"/>
      <c r="E24" s="1320" t="s">
        <v>276</v>
      </c>
      <c r="F24" s="1321">
        <v>3780.41</v>
      </c>
      <c r="G24" s="1319"/>
      <c r="H24" s="1315"/>
    </row>
    <row r="25" spans="1:8" ht="13.8">
      <c r="A25" s="1309"/>
      <c r="B25" s="1320">
        <v>3</v>
      </c>
      <c r="C25" s="2377" t="s">
        <v>3603</v>
      </c>
      <c r="D25" s="2377"/>
      <c r="E25" s="1320" t="s">
        <v>276</v>
      </c>
      <c r="F25" s="1321">
        <v>412.33</v>
      </c>
      <c r="G25" s="1319"/>
      <c r="H25" s="1315"/>
    </row>
    <row r="26" spans="1:8" ht="13.8">
      <c r="A26" s="1309"/>
      <c r="B26" s="2378">
        <v>4</v>
      </c>
      <c r="C26" s="2381" t="s">
        <v>3604</v>
      </c>
      <c r="D26" s="2382"/>
      <c r="E26" s="2382"/>
      <c r="F26" s="2383"/>
      <c r="G26" s="1319"/>
      <c r="H26" s="1315"/>
    </row>
    <row r="27" spans="1:8" ht="13.8">
      <c r="A27" s="1309"/>
      <c r="B27" s="2379"/>
      <c r="C27" s="2377" t="s">
        <v>3605</v>
      </c>
      <c r="D27" s="2377"/>
      <c r="E27" s="1320" t="s">
        <v>276</v>
      </c>
      <c r="F27" s="1321">
        <v>248.05</v>
      </c>
      <c r="G27" s="1319"/>
      <c r="H27" s="1315"/>
    </row>
    <row r="28" spans="1:8" ht="13.8">
      <c r="A28" s="1309"/>
      <c r="B28" s="2379"/>
      <c r="C28" s="2377" t="s">
        <v>3606</v>
      </c>
      <c r="D28" s="2377"/>
      <c r="E28" s="1320" t="s">
        <v>276</v>
      </c>
      <c r="F28" s="1321">
        <v>72.98</v>
      </c>
      <c r="G28" s="1319"/>
      <c r="H28" s="1315"/>
    </row>
    <row r="29" spans="1:8" ht="13.8">
      <c r="A29" s="1309"/>
      <c r="B29" s="2380"/>
      <c r="C29" s="2377" t="s">
        <v>3607</v>
      </c>
      <c r="D29" s="2377"/>
      <c r="E29" s="1320" t="s">
        <v>276</v>
      </c>
      <c r="F29" s="1321">
        <v>1783.17</v>
      </c>
      <c r="G29" s="1319"/>
      <c r="H29" s="1315"/>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c r="P1" s="564"/>
      <c r="W1" s="564"/>
      <c r="AD1" s="564"/>
      <c r="AG1" s="564"/>
    </row>
    <row r="2" spans="1:39">
      <c r="A2" s="2396" t="s">
        <v>1802</v>
      </c>
      <c r="B2" s="2396"/>
      <c r="C2" s="2396"/>
      <c r="D2" s="2396"/>
      <c r="E2" s="2396"/>
      <c r="F2" s="2396"/>
      <c r="G2" s="2396"/>
      <c r="H2" s="2396"/>
      <c r="I2" s="2396"/>
      <c r="J2" s="2396"/>
      <c r="K2" s="2396"/>
      <c r="P2" s="564"/>
      <c r="W2" s="564"/>
      <c r="AD2" s="564"/>
      <c r="AG2" s="564"/>
    </row>
    <row r="3" spans="1:39">
      <c r="A3" s="621"/>
      <c r="G3" s="563">
        <v>7</v>
      </c>
      <c r="I3" s="563"/>
      <c r="P3" s="564"/>
      <c r="W3" s="564"/>
      <c r="AD3" s="564"/>
      <c r="AG3" s="564"/>
    </row>
    <row r="4" spans="1:39">
      <c r="A4" s="623"/>
      <c r="B4" s="2397" t="s">
        <v>1800</v>
      </c>
      <c r="C4" s="2397"/>
      <c r="D4" s="2397"/>
      <c r="E4" s="2397"/>
      <c r="F4" s="2397"/>
      <c r="G4" s="2397"/>
      <c r="H4" s="2397"/>
      <c r="I4" s="2397"/>
      <c r="J4" s="2397"/>
      <c r="K4" s="2397"/>
      <c r="P4" s="564"/>
      <c r="W4" s="564"/>
      <c r="AD4" s="564"/>
      <c r="AG4" s="564"/>
    </row>
    <row r="5" spans="1:39" ht="12.75" customHeight="1">
      <c r="A5" s="623"/>
      <c r="B5" s="2398" t="e">
        <f>#REF!</f>
        <v>#REF!</v>
      </c>
      <c r="C5" s="2399"/>
      <c r="D5" s="2399"/>
      <c r="E5" s="2399"/>
      <c r="F5" s="2399"/>
      <c r="G5" s="2399"/>
      <c r="H5" s="2399"/>
      <c r="I5" s="2399"/>
      <c r="J5" s="2399"/>
      <c r="K5" s="2399"/>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2110</v>
      </c>
      <c r="E8" s="971" t="s">
        <v>1992</v>
      </c>
      <c r="F8" s="971" t="s">
        <v>1991</v>
      </c>
      <c r="G8" s="971" t="s">
        <v>1985</v>
      </c>
      <c r="H8" s="971" t="s">
        <v>1986</v>
      </c>
      <c r="I8" s="971" t="s">
        <v>1987</v>
      </c>
      <c r="J8" s="971" t="s">
        <v>1988</v>
      </c>
      <c r="K8" s="971" t="s">
        <v>1989</v>
      </c>
      <c r="L8" s="971" t="s">
        <v>1990</v>
      </c>
      <c r="M8" s="971" t="s">
        <v>1991</v>
      </c>
      <c r="N8" s="971" t="s">
        <v>1985</v>
      </c>
      <c r="O8" s="971" t="s">
        <v>1986</v>
      </c>
      <c r="P8" s="971" t="s">
        <v>1987</v>
      </c>
      <c r="Q8" s="971" t="s">
        <v>1988</v>
      </c>
      <c r="R8" s="971" t="s">
        <v>1989</v>
      </c>
      <c r="S8" s="971" t="s">
        <v>1990</v>
      </c>
      <c r="T8" s="971" t="s">
        <v>1991</v>
      </c>
      <c r="U8" s="971" t="s">
        <v>1985</v>
      </c>
      <c r="V8" s="971" t="s">
        <v>1986</v>
      </c>
      <c r="W8" s="971" t="s">
        <v>1987</v>
      </c>
      <c r="X8" s="971" t="s">
        <v>1988</v>
      </c>
      <c r="Y8" s="971" t="s">
        <v>1989</v>
      </c>
      <c r="Z8" s="971" t="s">
        <v>1990</v>
      </c>
      <c r="AA8" s="971" t="s">
        <v>1991</v>
      </c>
      <c r="AB8" s="971" t="s">
        <v>1985</v>
      </c>
      <c r="AC8" s="971" t="s">
        <v>1986</v>
      </c>
      <c r="AD8" s="971" t="s">
        <v>1987</v>
      </c>
      <c r="AE8" s="971" t="s">
        <v>1988</v>
      </c>
      <c r="AF8" s="971" t="s">
        <v>1989</v>
      </c>
      <c r="AG8" s="971" t="s">
        <v>1990</v>
      </c>
      <c r="AH8" s="971" t="s">
        <v>1988</v>
      </c>
      <c r="AI8" s="971"/>
    </row>
    <row r="9" spans="1:39" ht="13.8" thickBot="1">
      <c r="A9" s="2400" t="s">
        <v>285</v>
      </c>
      <c r="B9" s="2400"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01"/>
      <c r="B10" s="2401"/>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1926</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5">
      <c r="A2" s="2396" t="s">
        <v>1802</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5">
      <c r="A3" s="621"/>
    </row>
    <row r="4" spans="1:45">
      <c r="A4" s="623"/>
      <c r="B4" s="2397" t="s">
        <v>1800</v>
      </c>
      <c r="C4" s="2397"/>
      <c r="D4" s="2397"/>
      <c r="E4" s="2397"/>
      <c r="F4" s="2397"/>
      <c r="G4" s="2397"/>
      <c r="H4" s="2397"/>
      <c r="I4" s="2397"/>
      <c r="J4" s="2397"/>
      <c r="K4" s="2397"/>
      <c r="L4" s="2397"/>
    </row>
    <row r="5" spans="1:45"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5" ht="13.5" customHeight="1">
      <c r="B6" s="625"/>
      <c r="C6" s="567"/>
    </row>
    <row r="7" spans="1:45" ht="13.5" customHeight="1">
      <c r="B7" s="625"/>
      <c r="C7" s="567"/>
      <c r="Q7" s="2402" t="s">
        <v>284</v>
      </c>
      <c r="R7" s="2402"/>
      <c r="S7" s="2402"/>
      <c r="T7" s="2402"/>
      <c r="U7" s="2402"/>
      <c r="V7" s="2402"/>
      <c r="W7" s="2403">
        <v>42888</v>
      </c>
      <c r="X7" s="2403"/>
      <c r="Y7" s="2403"/>
      <c r="Z7" s="2403"/>
    </row>
    <row r="8" spans="1:45" ht="13.5" customHeight="1" thickBot="1">
      <c r="B8" s="625"/>
      <c r="C8" s="567"/>
      <c r="D8" s="971" t="s">
        <v>2110</v>
      </c>
      <c r="E8" s="971" t="s">
        <v>1992</v>
      </c>
      <c r="F8" s="971" t="s">
        <v>1991</v>
      </c>
      <c r="G8" s="971" t="s">
        <v>1985</v>
      </c>
      <c r="H8" s="971" t="s">
        <v>1986</v>
      </c>
      <c r="I8" s="971" t="s">
        <v>1987</v>
      </c>
      <c r="J8" s="971" t="s">
        <v>1988</v>
      </c>
      <c r="K8" s="971" t="s">
        <v>1989</v>
      </c>
      <c r="L8" s="971" t="s">
        <v>1990</v>
      </c>
      <c r="M8" s="971" t="s">
        <v>1991</v>
      </c>
      <c r="N8" s="971" t="s">
        <v>1985</v>
      </c>
      <c r="O8" s="971" t="s">
        <v>1986</v>
      </c>
      <c r="P8" s="971" t="s">
        <v>1987</v>
      </c>
      <c r="Q8" s="971" t="s">
        <v>1988</v>
      </c>
      <c r="R8" s="971" t="s">
        <v>1989</v>
      </c>
      <c r="S8" s="971" t="s">
        <v>1990</v>
      </c>
      <c r="T8" s="971" t="s">
        <v>1991</v>
      </c>
      <c r="U8" s="971" t="s">
        <v>1985</v>
      </c>
      <c r="V8" s="971" t="s">
        <v>1986</v>
      </c>
      <c r="W8" s="971" t="s">
        <v>1987</v>
      </c>
      <c r="X8" s="971" t="s">
        <v>1988</v>
      </c>
      <c r="Y8" s="971" t="s">
        <v>1989</v>
      </c>
      <c r="Z8" s="971" t="s">
        <v>1990</v>
      </c>
      <c r="AA8" s="971" t="s">
        <v>1991</v>
      </c>
      <c r="AB8" s="971" t="s">
        <v>1985</v>
      </c>
      <c r="AC8" s="971" t="s">
        <v>1986</v>
      </c>
      <c r="AD8" s="971" t="s">
        <v>1987</v>
      </c>
      <c r="AE8" s="971" t="s">
        <v>1988</v>
      </c>
      <c r="AF8" s="971" t="s">
        <v>1989</v>
      </c>
      <c r="AG8" s="971" t="s">
        <v>1990</v>
      </c>
      <c r="AH8" s="971" t="s">
        <v>1991</v>
      </c>
      <c r="AI8" s="1061"/>
    </row>
    <row r="9" spans="1:45" ht="13.8" thickBot="1">
      <c r="A9" s="2400" t="s">
        <v>285</v>
      </c>
      <c r="B9" s="2400"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01"/>
      <c r="B10" s="2401"/>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c r="O3" s="563" t="s">
        <v>2097</v>
      </c>
    </row>
    <row r="4" spans="1:43">
      <c r="A4" s="623"/>
      <c r="B4" s="2397" t="s">
        <v>1800</v>
      </c>
      <c r="C4" s="2397"/>
      <c r="D4" s="2397"/>
      <c r="E4" s="2397"/>
      <c r="F4" s="2397"/>
      <c r="G4" s="2397"/>
      <c r="H4" s="2397"/>
      <c r="I4" s="2397"/>
      <c r="J4" s="2397"/>
      <c r="K4" s="2397"/>
      <c r="L4" s="2397"/>
    </row>
    <row r="5" spans="1:43"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1052" t="s">
        <v>2110</v>
      </c>
      <c r="E8" s="1052" t="s">
        <v>1992</v>
      </c>
      <c r="F8" s="1052" t="s">
        <v>1991</v>
      </c>
      <c r="G8" s="1052" t="s">
        <v>1985</v>
      </c>
      <c r="H8" s="1052" t="s">
        <v>1986</v>
      </c>
      <c r="I8" s="1052" t="s">
        <v>1987</v>
      </c>
      <c r="J8" s="1052" t="s">
        <v>1988</v>
      </c>
      <c r="K8" s="1052" t="s">
        <v>1989</v>
      </c>
      <c r="L8" s="1052" t="s">
        <v>1990</v>
      </c>
      <c r="M8" s="1052" t="s">
        <v>1991</v>
      </c>
      <c r="N8" s="1052" t="s">
        <v>1985</v>
      </c>
      <c r="O8" s="1052" t="s">
        <v>1986</v>
      </c>
      <c r="P8" s="1052" t="s">
        <v>1987</v>
      </c>
      <c r="Q8" s="1052" t="s">
        <v>1988</v>
      </c>
      <c r="R8" s="1052" t="s">
        <v>1989</v>
      </c>
      <c r="S8" s="1052" t="s">
        <v>1990</v>
      </c>
      <c r="T8" s="1052" t="s">
        <v>1991</v>
      </c>
      <c r="U8" s="1052" t="s">
        <v>1985</v>
      </c>
      <c r="V8" s="1052" t="s">
        <v>1986</v>
      </c>
      <c r="W8" s="1052" t="s">
        <v>1987</v>
      </c>
      <c r="X8" s="1052" t="s">
        <v>1988</v>
      </c>
      <c r="Y8" s="1052" t="s">
        <v>1989</v>
      </c>
      <c r="Z8" s="1052" t="s">
        <v>1990</v>
      </c>
      <c r="AA8" s="1052" t="s">
        <v>1991</v>
      </c>
      <c r="AB8" s="1052" t="s">
        <v>1985</v>
      </c>
      <c r="AC8" s="1052" t="s">
        <v>1986</v>
      </c>
      <c r="AD8" s="1052" t="s">
        <v>1987</v>
      </c>
      <c r="AE8" s="1052" t="s">
        <v>1988</v>
      </c>
      <c r="AF8" s="1052" t="s">
        <v>1989</v>
      </c>
      <c r="AG8" s="1052" t="s">
        <v>1990</v>
      </c>
      <c r="AH8" s="1052" t="s">
        <v>1991</v>
      </c>
      <c r="AI8" s="971"/>
      <c r="AJ8" s="2404" t="s">
        <v>1983</v>
      </c>
      <c r="AK8" s="2405"/>
      <c r="AL8" s="2405"/>
      <c r="AM8" s="2406"/>
      <c r="AN8" s="2404" t="s">
        <v>1984</v>
      </c>
      <c r="AO8" s="2405"/>
      <c r="AP8" s="2405"/>
      <c r="AQ8" s="2406"/>
    </row>
    <row r="9" spans="1:43" ht="13.8" thickBot="1">
      <c r="A9" s="2400" t="s">
        <v>285</v>
      </c>
      <c r="B9" s="2400"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1930</v>
      </c>
      <c r="B13" s="846" t="s">
        <v>1936</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2013</v>
      </c>
      <c r="B14" s="846" t="s">
        <v>2133</v>
      </c>
      <c r="C14" s="841" t="s">
        <v>2134</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2090</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2091</v>
      </c>
      <c r="B16" s="846" t="s">
        <v>1950</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2092</v>
      </c>
      <c r="B17" s="846" t="s">
        <v>1951</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2093</v>
      </c>
      <c r="B18" s="846" t="s">
        <v>2004</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2103</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2104</v>
      </c>
      <c r="B20" s="1098" t="s">
        <v>2100</v>
      </c>
      <c r="C20" s="841" t="s">
        <v>2101</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2117</v>
      </c>
      <c r="B21" s="1098" t="s">
        <v>1995</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2118</v>
      </c>
      <c r="B22" s="610" t="s">
        <v>2120</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2119</v>
      </c>
      <c r="B23" s="610" t="s">
        <v>2122</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2121</v>
      </c>
      <c r="B24" s="610" t="s">
        <v>2123</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2136</v>
      </c>
      <c r="B25" s="846" t="s">
        <v>225</v>
      </c>
      <c r="C25" s="620" t="s">
        <v>2135</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2105</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2107</v>
      </c>
      <c r="B27" s="846" t="s">
        <v>1950</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2108</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2137</v>
      </c>
      <c r="B29" s="846" t="s">
        <v>1995</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2153</v>
      </c>
      <c r="B30" s="610" t="s">
        <v>2138</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2154</v>
      </c>
      <c r="B31" s="610" t="s">
        <v>2139</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2155</v>
      </c>
      <c r="B32" s="610" t="s">
        <v>2140</v>
      </c>
      <c r="C32" s="620" t="s">
        <v>1939</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2111</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2141</v>
      </c>
      <c r="B34" s="846" t="s">
        <v>1995</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2142</v>
      </c>
      <c r="B35" s="846" t="s">
        <v>1996</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2143</v>
      </c>
      <c r="B36" s="846" t="s">
        <v>1997</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2144</v>
      </c>
      <c r="B37" s="846" t="s">
        <v>1998</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2145</v>
      </c>
      <c r="B38" s="846" t="s">
        <v>1999</v>
      </c>
      <c r="C38" s="620" t="s">
        <v>1939</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2112</v>
      </c>
      <c r="B39" s="846" t="s">
        <v>2000</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2113</v>
      </c>
      <c r="B40" s="846" t="s">
        <v>2001</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2114</v>
      </c>
      <c r="B41" s="846" t="s">
        <v>2002</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2115</v>
      </c>
      <c r="B42" s="846" t="s">
        <v>2003</v>
      </c>
      <c r="C42" s="620" t="s">
        <v>1939</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2146</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2147</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2148</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2149</v>
      </c>
      <c r="B46" s="610" t="s">
        <v>1221</v>
      </c>
      <c r="C46" s="620" t="s">
        <v>1939</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2116</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2124</v>
      </c>
      <c r="B48" s="846" t="s">
        <v>1995</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2125</v>
      </c>
      <c r="B49" s="846" t="s">
        <v>1996</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2126</v>
      </c>
      <c r="B50" s="846" t="s">
        <v>1997</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2127</v>
      </c>
      <c r="B51" s="846" t="s">
        <v>1998</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2128</v>
      </c>
      <c r="B52" s="846" t="s">
        <v>1999</v>
      </c>
      <c r="C52" s="620" t="s">
        <v>1939</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2129</v>
      </c>
      <c r="B53" s="846" t="s">
        <v>2000</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2130</v>
      </c>
      <c r="B54" s="846" t="s">
        <v>2001</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2131</v>
      </c>
      <c r="B55" s="846" t="s">
        <v>2002</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2132</v>
      </c>
      <c r="B56" s="846" t="s">
        <v>2003</v>
      </c>
      <c r="C56" s="620" t="s">
        <v>1939</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49" t="s">
        <v>1948</v>
      </c>
      <c r="E2" s="2349"/>
      <c r="F2" s="2349"/>
      <c r="G2" s="2349"/>
      <c r="H2" s="2349"/>
      <c r="I2" s="56"/>
    </row>
    <row r="3" spans="1:18" s="5" customFormat="1" ht="16.5" customHeight="1">
      <c r="A3" s="2349" t="str">
        <f>[27]VAL.PRINC!B3</f>
        <v>INFORME CORRESPONDIENTE AL MES DE JUNIO DEL 2017</v>
      </c>
      <c r="B3" s="2349"/>
      <c r="C3" s="2349"/>
      <c r="D3" s="2349"/>
      <c r="E3" s="2349"/>
      <c r="F3" s="2349"/>
      <c r="G3" s="2349"/>
      <c r="H3" s="2349"/>
      <c r="I3" s="2349"/>
      <c r="J3" s="2349"/>
      <c r="K3" s="2349"/>
      <c r="L3" s="2349"/>
      <c r="M3" s="2349"/>
      <c r="N3" s="2349"/>
      <c r="O3" s="2349"/>
      <c r="P3" s="2349"/>
    </row>
    <row r="4" spans="1:18" s="169" customFormat="1" ht="32.25" customHeight="1">
      <c r="A4" s="170"/>
      <c r="B4" s="171" t="s">
        <v>6</v>
      </c>
      <c r="C4" s="172" t="s">
        <v>4</v>
      </c>
      <c r="D4" s="2407" t="str">
        <f>[27]VAL.PRINC!D4</f>
        <v>“MEJORAMIENTO DEL SERVICIO EDUCATIVO DE NIVEL INICIAL EN LA IEI 1100 PICHIUCA PROVINCIA DE ABANCAY - REGIÓN APURÍMAC".</v>
      </c>
      <c r="E4" s="2407"/>
      <c r="F4" s="2407"/>
      <c r="G4" s="2407"/>
      <c r="H4" s="2407"/>
      <c r="I4" s="2407"/>
      <c r="J4" s="2407"/>
      <c r="K4" s="2407"/>
      <c r="L4" s="2407"/>
      <c r="M4" s="168" t="s">
        <v>13</v>
      </c>
      <c r="N4" s="168"/>
      <c r="O4" s="2354">
        <v>42920</v>
      </c>
      <c r="P4" s="2354"/>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57" t="s">
        <v>20</v>
      </c>
      <c r="B10" s="2337" t="s">
        <v>21</v>
      </c>
      <c r="C10" s="2358" t="s">
        <v>22</v>
      </c>
      <c r="D10" s="2357" t="s">
        <v>23</v>
      </c>
      <c r="E10" s="2358"/>
      <c r="F10" s="2359"/>
      <c r="G10" s="2343" t="s">
        <v>24</v>
      </c>
      <c r="H10" s="2344"/>
      <c r="I10" s="2344"/>
      <c r="J10" s="2344"/>
      <c r="K10" s="2344"/>
      <c r="L10" s="2344"/>
      <c r="M10" s="2345"/>
      <c r="N10" s="2358" t="s">
        <v>25</v>
      </c>
      <c r="O10" s="2358"/>
      <c r="P10" s="2359"/>
    </row>
    <row r="11" spans="1:18" s="5" customFormat="1" ht="11.25" customHeight="1" thickBot="1">
      <c r="A11" s="2408"/>
      <c r="B11" s="2355"/>
      <c r="C11" s="2409"/>
      <c r="D11" s="2360"/>
      <c r="E11" s="2361"/>
      <c r="F11" s="2362"/>
      <c r="G11" s="2343" t="s">
        <v>26</v>
      </c>
      <c r="H11" s="2345"/>
      <c r="I11" s="2343" t="s">
        <v>27</v>
      </c>
      <c r="J11" s="2345"/>
      <c r="K11" s="2343" t="s">
        <v>28</v>
      </c>
      <c r="L11" s="2344"/>
      <c r="M11" s="2345"/>
      <c r="N11" s="2409"/>
      <c r="O11" s="2409"/>
      <c r="P11" s="2410"/>
    </row>
    <row r="12" spans="1:18" s="5" customFormat="1" ht="11.25" customHeight="1">
      <c r="A12" s="2408"/>
      <c r="B12" s="2355"/>
      <c r="C12" s="2409"/>
      <c r="D12" s="2337" t="s">
        <v>29</v>
      </c>
      <c r="E12" s="2422" t="s">
        <v>30</v>
      </c>
      <c r="F12" s="2337" t="s">
        <v>31</v>
      </c>
      <c r="G12" s="2411" t="s">
        <v>3</v>
      </c>
      <c r="H12" s="2415" t="s">
        <v>32</v>
      </c>
      <c r="I12" s="2411" t="s">
        <v>3</v>
      </c>
      <c r="J12" s="2415" t="s">
        <v>32</v>
      </c>
      <c r="K12" s="2411" t="s">
        <v>3</v>
      </c>
      <c r="L12" s="2415" t="s">
        <v>32</v>
      </c>
      <c r="M12" s="2411" t="s">
        <v>0</v>
      </c>
      <c r="N12" s="2413" t="s">
        <v>3</v>
      </c>
      <c r="O12" s="2415" t="s">
        <v>32</v>
      </c>
      <c r="P12" s="2413" t="s">
        <v>0</v>
      </c>
    </row>
    <row r="13" spans="1:18" s="5" customFormat="1" ht="11.25" customHeight="1" thickBot="1">
      <c r="A13" s="2408"/>
      <c r="B13" s="2355"/>
      <c r="C13" s="2409"/>
      <c r="D13" s="2355"/>
      <c r="E13" s="2422"/>
      <c r="F13" s="2355"/>
      <c r="G13" s="2412"/>
      <c r="H13" s="2416"/>
      <c r="I13" s="2412"/>
      <c r="J13" s="2416"/>
      <c r="K13" s="2412"/>
      <c r="L13" s="2416"/>
      <c r="M13" s="2412"/>
      <c r="N13" s="2414"/>
      <c r="O13" s="2416"/>
      <c r="P13" s="2414"/>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2065</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1930</v>
      </c>
      <c r="B17" s="525" t="s">
        <v>1936</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1932</v>
      </c>
      <c r="B18" s="525" t="s">
        <v>1937</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1933</v>
      </c>
      <c r="B19" s="525" t="s">
        <v>1938</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1934</v>
      </c>
      <c r="B20" s="525" t="s">
        <v>1940</v>
      </c>
      <c r="C20" s="526" t="s">
        <v>1939</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1935</v>
      </c>
      <c r="B21" s="525" t="s">
        <v>1931</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1941</v>
      </c>
      <c r="B22" s="525" t="s">
        <v>1945</v>
      </c>
      <c r="C22" s="526" t="s">
        <v>1944</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1942</v>
      </c>
      <c r="B23" s="525" t="s">
        <v>1946</v>
      </c>
      <c r="C23" s="526" t="s">
        <v>1944</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1943</v>
      </c>
      <c r="B24" s="525" t="s">
        <v>1947</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1994</v>
      </c>
      <c r="B25" s="846" t="s">
        <v>2007</v>
      </c>
      <c r="C25" s="526" t="s">
        <v>73</v>
      </c>
      <c r="D25" s="135"/>
      <c r="E25" s="135"/>
      <c r="F25" s="315"/>
      <c r="G25" s="527">
        <v>0</v>
      </c>
      <c r="H25" s="315"/>
      <c r="I25" s="528"/>
      <c r="J25" s="315"/>
      <c r="K25" s="527"/>
      <c r="L25" s="315"/>
      <c r="M25" s="535"/>
      <c r="N25" s="527"/>
      <c r="O25" s="315"/>
      <c r="P25" s="314"/>
      <c r="Q25" s="97">
        <v>20270</v>
      </c>
    </row>
    <row r="26" spans="1:18">
      <c r="A26" s="610" t="s">
        <v>2005</v>
      </c>
      <c r="B26" s="846" t="s">
        <v>2006</v>
      </c>
      <c r="C26" s="526" t="s">
        <v>73</v>
      </c>
      <c r="D26" s="135"/>
      <c r="E26" s="135"/>
      <c r="F26" s="315"/>
      <c r="G26" s="527">
        <v>0</v>
      </c>
      <c r="H26" s="315"/>
      <c r="I26" s="528"/>
      <c r="J26" s="315"/>
      <c r="K26" s="527"/>
      <c r="L26" s="315"/>
      <c r="M26" s="535"/>
      <c r="N26" s="527"/>
      <c r="O26" s="315"/>
      <c r="P26" s="314"/>
      <c r="Q26" s="97">
        <v>2200</v>
      </c>
    </row>
    <row r="27" spans="1:18" hidden="1">
      <c r="A27" s="610" t="s">
        <v>2009</v>
      </c>
      <c r="B27" s="846" t="s">
        <v>2010</v>
      </c>
      <c r="C27" s="526" t="s">
        <v>73</v>
      </c>
      <c r="D27" s="135"/>
      <c r="E27" s="135"/>
      <c r="F27" s="315"/>
      <c r="G27" s="527"/>
      <c r="H27" s="315"/>
      <c r="I27" s="528"/>
      <c r="J27" s="315"/>
      <c r="K27" s="527"/>
      <c r="L27" s="315"/>
      <c r="M27" s="535"/>
      <c r="N27" s="527"/>
      <c r="O27" s="315"/>
      <c r="P27" s="314"/>
      <c r="Q27" s="97">
        <v>390</v>
      </c>
    </row>
    <row r="28" spans="1:18" hidden="1">
      <c r="A28" s="610" t="s">
        <v>2011</v>
      </c>
      <c r="B28" s="846" t="s">
        <v>2012</v>
      </c>
      <c r="C28" s="526" t="s">
        <v>73</v>
      </c>
      <c r="D28" s="135"/>
      <c r="E28" s="135"/>
      <c r="F28" s="315"/>
      <c r="G28" s="527"/>
      <c r="H28" s="315"/>
      <c r="I28" s="528"/>
      <c r="J28" s="315"/>
      <c r="K28" s="527"/>
      <c r="L28" s="315"/>
      <c r="M28" s="535"/>
      <c r="N28" s="527"/>
      <c r="O28" s="315"/>
      <c r="P28" s="314"/>
      <c r="Q28" s="97">
        <v>5000</v>
      </c>
    </row>
    <row r="29" spans="1:18" hidden="1">
      <c r="A29" s="610" t="s">
        <v>2013</v>
      </c>
      <c r="B29" s="846" t="s">
        <v>2018</v>
      </c>
      <c r="C29" s="526" t="s">
        <v>73</v>
      </c>
      <c r="D29" s="135"/>
      <c r="E29" s="135"/>
      <c r="F29" s="315"/>
      <c r="G29" s="527"/>
      <c r="H29" s="315"/>
      <c r="I29" s="528"/>
      <c r="J29" s="315"/>
      <c r="K29" s="527"/>
      <c r="L29" s="315"/>
      <c r="M29" s="535"/>
      <c r="N29" s="527"/>
      <c r="O29" s="315"/>
      <c r="P29" s="314"/>
      <c r="Q29" s="97">
        <v>660</v>
      </c>
    </row>
    <row r="30" spans="1:18" hidden="1">
      <c r="A30" s="610" t="s">
        <v>2015</v>
      </c>
      <c r="B30" s="846" t="s">
        <v>2014</v>
      </c>
      <c r="C30" s="526" t="s">
        <v>276</v>
      </c>
      <c r="D30" s="135"/>
      <c r="E30" s="135"/>
      <c r="F30" s="315"/>
      <c r="G30" s="527"/>
      <c r="H30" s="315"/>
      <c r="I30" s="528"/>
      <c r="J30" s="315"/>
      <c r="K30" s="527"/>
      <c r="L30" s="315"/>
      <c r="M30" s="535"/>
      <c r="N30" s="527"/>
      <c r="O30" s="315"/>
      <c r="P30" s="314"/>
      <c r="Q30" s="97">
        <v>506</v>
      </c>
    </row>
    <row r="31" spans="1:18" hidden="1">
      <c r="A31" s="610" t="s">
        <v>2017</v>
      </c>
      <c r="B31" s="846" t="s">
        <v>2016</v>
      </c>
      <c r="C31" s="526" t="s">
        <v>276</v>
      </c>
      <c r="D31" s="135"/>
      <c r="E31" s="135"/>
      <c r="F31" s="315"/>
      <c r="G31" s="527"/>
      <c r="H31" s="315"/>
      <c r="I31" s="528"/>
      <c r="J31" s="315"/>
      <c r="K31" s="527"/>
      <c r="L31" s="315"/>
      <c r="M31" s="535"/>
      <c r="N31" s="527"/>
      <c r="O31" s="315"/>
      <c r="P31" s="314"/>
      <c r="Q31" s="97">
        <v>34.78</v>
      </c>
    </row>
    <row r="32" spans="1:18" hidden="1">
      <c r="A32" s="610" t="s">
        <v>2019</v>
      </c>
      <c r="B32" s="846" t="s">
        <v>2020</v>
      </c>
      <c r="C32" s="526" t="s">
        <v>73</v>
      </c>
      <c r="D32" s="135"/>
      <c r="E32" s="135"/>
      <c r="F32" s="315"/>
      <c r="G32" s="527"/>
      <c r="H32" s="315"/>
      <c r="I32" s="528"/>
      <c r="J32" s="315"/>
      <c r="K32" s="527"/>
      <c r="L32" s="315"/>
      <c r="M32" s="535"/>
      <c r="N32" s="527"/>
      <c r="O32" s="315"/>
      <c r="P32" s="314"/>
      <c r="Q32" s="97">
        <v>50</v>
      </c>
    </row>
    <row r="33" spans="1:17" hidden="1">
      <c r="A33" s="610" t="s">
        <v>2021</v>
      </c>
      <c r="B33" s="846" t="s">
        <v>2022</v>
      </c>
      <c r="C33" s="526" t="s">
        <v>73</v>
      </c>
      <c r="D33" s="135"/>
      <c r="E33" s="135"/>
      <c r="F33" s="315"/>
      <c r="G33" s="527"/>
      <c r="H33" s="315"/>
      <c r="I33" s="528"/>
      <c r="J33" s="315"/>
      <c r="K33" s="527"/>
      <c r="L33" s="315"/>
      <c r="M33" s="535"/>
      <c r="N33" s="527"/>
      <c r="O33" s="315"/>
      <c r="P33" s="314"/>
      <c r="Q33" s="97">
        <v>50</v>
      </c>
    </row>
    <row r="34" spans="1:17" hidden="1">
      <c r="A34" s="610" t="s">
        <v>2023</v>
      </c>
      <c r="B34" s="846" t="s">
        <v>2026</v>
      </c>
      <c r="C34" s="526" t="s">
        <v>73</v>
      </c>
      <c r="D34" s="135"/>
      <c r="E34" s="135"/>
      <c r="F34" s="315"/>
      <c r="G34" s="527"/>
      <c r="H34" s="315"/>
      <c r="I34" s="528"/>
      <c r="J34" s="315"/>
      <c r="K34" s="527"/>
      <c r="L34" s="315"/>
      <c r="M34" s="535"/>
      <c r="N34" s="527"/>
      <c r="O34" s="315"/>
      <c r="P34" s="314"/>
      <c r="Q34" s="97">
        <v>78</v>
      </c>
    </row>
    <row r="35" spans="1:17" hidden="1">
      <c r="A35" s="610" t="s">
        <v>2024</v>
      </c>
      <c r="B35" s="846" t="s">
        <v>2035</v>
      </c>
      <c r="C35" s="526" t="s">
        <v>73</v>
      </c>
      <c r="D35" s="135"/>
      <c r="E35" s="135"/>
      <c r="F35" s="315"/>
      <c r="G35" s="527"/>
      <c r="H35" s="315"/>
      <c r="I35" s="528"/>
      <c r="J35" s="315"/>
      <c r="K35" s="527"/>
      <c r="L35" s="315"/>
      <c r="M35" s="535"/>
      <c r="N35" s="527"/>
      <c r="O35" s="315"/>
      <c r="P35" s="314"/>
      <c r="Q35" s="984">
        <v>71</v>
      </c>
    </row>
    <row r="36" spans="1:17" hidden="1">
      <c r="A36" s="610" t="s">
        <v>2027</v>
      </c>
      <c r="B36" s="846" t="s">
        <v>2025</v>
      </c>
      <c r="C36" s="526" t="s">
        <v>73</v>
      </c>
      <c r="D36" s="135"/>
      <c r="E36" s="135"/>
      <c r="F36" s="315"/>
      <c r="G36" s="527"/>
      <c r="H36" s="315"/>
      <c r="I36" s="528"/>
      <c r="J36" s="315"/>
      <c r="K36" s="527"/>
      <c r="L36" s="315"/>
      <c r="M36" s="535"/>
      <c r="N36" s="527"/>
      <c r="O36" s="315"/>
      <c r="P36" s="314"/>
      <c r="Q36" s="984">
        <v>385</v>
      </c>
    </row>
    <row r="37" spans="1:17" hidden="1">
      <c r="A37" s="610" t="s">
        <v>2028</v>
      </c>
      <c r="B37" s="846" t="s">
        <v>2032</v>
      </c>
      <c r="C37" s="526" t="s">
        <v>2064</v>
      </c>
      <c r="D37" s="135"/>
      <c r="E37" s="135"/>
      <c r="F37" s="315"/>
      <c r="G37" s="527"/>
      <c r="H37" s="315"/>
      <c r="I37" s="528"/>
      <c r="J37" s="315"/>
      <c r="K37" s="527"/>
      <c r="L37" s="315"/>
      <c r="M37" s="535"/>
      <c r="N37" s="527"/>
      <c r="O37" s="315"/>
      <c r="P37" s="314"/>
      <c r="Q37" s="984">
        <v>100</v>
      </c>
    </row>
    <row r="38" spans="1:17" hidden="1">
      <c r="A38" s="610" t="s">
        <v>2030</v>
      </c>
      <c r="B38" s="846" t="s">
        <v>2029</v>
      </c>
      <c r="C38" s="526" t="s">
        <v>276</v>
      </c>
      <c r="D38" s="135"/>
      <c r="E38" s="135"/>
      <c r="F38" s="315"/>
      <c r="G38" s="527"/>
      <c r="H38" s="315"/>
      <c r="I38" s="528"/>
      <c r="J38" s="315"/>
      <c r="K38" s="527"/>
      <c r="L38" s="315"/>
      <c r="M38" s="535"/>
      <c r="N38" s="527"/>
      <c r="O38" s="315"/>
      <c r="P38" s="314"/>
      <c r="Q38" s="984">
        <v>107</v>
      </c>
    </row>
    <row r="39" spans="1:17" hidden="1">
      <c r="A39" s="610" t="s">
        <v>2033</v>
      </c>
      <c r="B39" s="846" t="s">
        <v>2031</v>
      </c>
      <c r="C39" s="526" t="s">
        <v>276</v>
      </c>
      <c r="D39" s="135"/>
      <c r="E39" s="135"/>
      <c r="F39" s="315"/>
      <c r="G39" s="527"/>
      <c r="H39" s="315"/>
      <c r="I39" s="528"/>
      <c r="J39" s="315"/>
      <c r="K39" s="527"/>
      <c r="L39" s="315"/>
      <c r="M39" s="535"/>
      <c r="N39" s="527"/>
      <c r="O39" s="315"/>
      <c r="P39" s="314"/>
      <c r="Q39" s="984">
        <v>105</v>
      </c>
    </row>
    <row r="40" spans="1:17" hidden="1">
      <c r="A40" s="610" t="s">
        <v>2034</v>
      </c>
      <c r="B40" s="846" t="s">
        <v>2008</v>
      </c>
      <c r="C40" s="526" t="s">
        <v>2064</v>
      </c>
      <c r="D40" s="135"/>
      <c r="E40" s="135"/>
      <c r="F40" s="315"/>
      <c r="G40" s="527"/>
      <c r="H40" s="315"/>
      <c r="I40" s="528"/>
      <c r="J40" s="315"/>
      <c r="K40" s="527"/>
      <c r="L40" s="315"/>
      <c r="M40" s="535"/>
      <c r="N40" s="527"/>
      <c r="O40" s="315"/>
      <c r="P40" s="314"/>
      <c r="Q40" s="984">
        <v>3800</v>
      </c>
    </row>
    <row r="41" spans="1:17">
      <c r="A41" s="981" t="s">
        <v>2036</v>
      </c>
      <c r="B41" s="846" t="s">
        <v>1202</v>
      </c>
      <c r="C41" s="526"/>
      <c r="D41" s="135"/>
      <c r="E41" s="135"/>
      <c r="F41" s="315"/>
      <c r="G41" s="527"/>
      <c r="H41" s="315"/>
      <c r="I41" s="528"/>
      <c r="J41" s="315"/>
      <c r="K41" s="527"/>
      <c r="L41" s="315"/>
      <c r="M41" s="535"/>
      <c r="N41" s="527"/>
      <c r="O41" s="315"/>
      <c r="P41" s="314"/>
      <c r="Q41" s="984"/>
    </row>
    <row r="42" spans="1:17">
      <c r="A42" s="982" t="s">
        <v>2038</v>
      </c>
      <c r="B42" s="846" t="s">
        <v>1950</v>
      </c>
      <c r="C42" s="526"/>
      <c r="D42" s="135"/>
      <c r="E42" s="135"/>
      <c r="F42" s="315"/>
      <c r="G42" s="527"/>
      <c r="H42" s="315"/>
      <c r="I42" s="528"/>
      <c r="J42" s="315"/>
      <c r="K42" s="527"/>
      <c r="L42" s="315"/>
      <c r="M42" s="535"/>
      <c r="N42" s="527"/>
      <c r="O42" s="315"/>
      <c r="P42" s="314"/>
      <c r="Q42" s="984"/>
    </row>
    <row r="43" spans="1:17">
      <c r="A43" s="982" t="s">
        <v>2039</v>
      </c>
      <c r="B43" s="846" t="s">
        <v>1951</v>
      </c>
      <c r="C43" s="526" t="s">
        <v>40</v>
      </c>
      <c r="D43" s="135"/>
      <c r="E43" s="135"/>
      <c r="F43" s="315"/>
      <c r="G43" s="527">
        <v>3.17</v>
      </c>
      <c r="H43" s="315"/>
      <c r="I43" s="528"/>
      <c r="J43" s="315"/>
      <c r="K43" s="527"/>
      <c r="L43" s="315"/>
      <c r="M43" s="535"/>
      <c r="N43" s="527"/>
      <c r="O43" s="315"/>
      <c r="P43" s="314"/>
      <c r="Q43" s="988">
        <v>3.17</v>
      </c>
    </row>
    <row r="44" spans="1:17">
      <c r="A44" s="982" t="s">
        <v>2040</v>
      </c>
      <c r="B44" s="846" t="s">
        <v>1995</v>
      </c>
      <c r="C44" s="526"/>
      <c r="D44" s="135"/>
      <c r="E44" s="135"/>
      <c r="F44" s="315"/>
      <c r="G44" s="527"/>
      <c r="H44" s="315"/>
      <c r="I44" s="528"/>
      <c r="J44" s="315"/>
      <c r="K44" s="527"/>
      <c r="L44" s="315"/>
      <c r="M44" s="535"/>
      <c r="N44" s="527"/>
      <c r="O44" s="315"/>
      <c r="P44" s="314"/>
      <c r="Q44" s="984"/>
    </row>
    <row r="45" spans="1:17">
      <c r="A45" s="982" t="s">
        <v>2041</v>
      </c>
      <c r="B45" s="846" t="s">
        <v>1996</v>
      </c>
      <c r="C45" s="526"/>
      <c r="D45" s="135"/>
      <c r="E45" s="135"/>
      <c r="F45" s="315"/>
      <c r="G45" s="527"/>
      <c r="H45" s="315"/>
      <c r="I45" s="528"/>
      <c r="J45" s="315"/>
      <c r="K45" s="527"/>
      <c r="L45" s="315"/>
      <c r="M45" s="535"/>
      <c r="N45" s="527"/>
      <c r="O45" s="315"/>
      <c r="P45" s="314"/>
      <c r="Q45" s="984"/>
    </row>
    <row r="46" spans="1:17">
      <c r="A46" s="982" t="s">
        <v>2043</v>
      </c>
      <c r="B46" s="846" t="s">
        <v>1997</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2044</v>
      </c>
      <c r="B47" s="846" t="s">
        <v>1998</v>
      </c>
      <c r="C47" s="526" t="s">
        <v>37</v>
      </c>
      <c r="D47" s="135"/>
      <c r="E47" s="135"/>
      <c r="F47" s="315"/>
      <c r="G47" s="527">
        <v>0</v>
      </c>
      <c r="H47" s="315"/>
      <c r="I47" s="528"/>
      <c r="J47" s="315"/>
      <c r="K47" s="527"/>
      <c r="L47" s="315"/>
      <c r="M47" s="535"/>
      <c r="N47" s="527"/>
      <c r="O47" s="315"/>
      <c r="P47" s="314"/>
      <c r="Q47" s="983">
        <f>87.87*0.6</f>
        <v>52.722000000000001</v>
      </c>
    </row>
    <row r="48" spans="1:17">
      <c r="A48" s="982" t="s">
        <v>2045</v>
      </c>
      <c r="B48" s="846" t="s">
        <v>1999</v>
      </c>
      <c r="C48" s="526" t="s">
        <v>1939</v>
      </c>
      <c r="D48" s="135"/>
      <c r="E48" s="135"/>
      <c r="F48" s="315"/>
      <c r="G48" s="527">
        <v>0</v>
      </c>
      <c r="H48" s="315"/>
      <c r="I48" s="528"/>
      <c r="J48" s="315"/>
      <c r="K48" s="527"/>
      <c r="L48" s="315"/>
      <c r="M48" s="535"/>
      <c r="N48" s="527"/>
      <c r="O48" s="315"/>
      <c r="P48" s="314"/>
      <c r="Q48" s="983">
        <f>183.3/2</f>
        <v>91.65</v>
      </c>
    </row>
    <row r="49" spans="1:17">
      <c r="A49" s="982" t="s">
        <v>2042</v>
      </c>
      <c r="B49" s="846" t="s">
        <v>2000</v>
      </c>
      <c r="C49" s="526"/>
      <c r="D49" s="135"/>
      <c r="E49" s="135"/>
      <c r="F49" s="315"/>
      <c r="G49" s="527"/>
      <c r="H49" s="315"/>
      <c r="I49" s="528"/>
      <c r="J49" s="315"/>
      <c r="K49" s="527"/>
      <c r="L49" s="315"/>
      <c r="M49" s="535"/>
      <c r="N49" s="527"/>
      <c r="O49" s="315"/>
      <c r="P49" s="314"/>
      <c r="Q49" s="983"/>
    </row>
    <row r="50" spans="1:17">
      <c r="A50" s="982" t="s">
        <v>2046</v>
      </c>
      <c r="B50" s="846" t="s">
        <v>2001</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2047</v>
      </c>
      <c r="B51" s="846" t="s">
        <v>2002</v>
      </c>
      <c r="C51" s="526" t="s">
        <v>37</v>
      </c>
      <c r="D51" s="135"/>
      <c r="E51" s="135"/>
      <c r="F51" s="315"/>
      <c r="G51" s="527">
        <v>0</v>
      </c>
      <c r="H51" s="315"/>
      <c r="I51" s="528"/>
      <c r="J51" s="315"/>
      <c r="K51" s="527"/>
      <c r="L51" s="315"/>
      <c r="M51" s="535"/>
      <c r="N51" s="527"/>
      <c r="O51" s="315"/>
      <c r="P51" s="314"/>
      <c r="Q51" s="983">
        <f>87.87*0.5</f>
        <v>43.935000000000002</v>
      </c>
    </row>
    <row r="52" spans="1:17">
      <c r="A52" s="982" t="s">
        <v>2048</v>
      </c>
      <c r="B52" s="846" t="s">
        <v>2003</v>
      </c>
      <c r="C52" s="526" t="s">
        <v>1939</v>
      </c>
      <c r="D52" s="135"/>
      <c r="E52" s="135"/>
      <c r="F52" s="315"/>
      <c r="G52" s="527">
        <v>0</v>
      </c>
      <c r="H52" s="315"/>
      <c r="I52" s="528"/>
      <c r="J52" s="315"/>
      <c r="K52" s="527"/>
      <c r="L52" s="315"/>
      <c r="M52" s="535"/>
      <c r="N52" s="527"/>
      <c r="O52" s="315"/>
      <c r="P52" s="314"/>
      <c r="Q52" s="983">
        <v>91.65</v>
      </c>
    </row>
    <row r="53" spans="1:17">
      <c r="A53" s="981" t="s">
        <v>2037</v>
      </c>
      <c r="B53" s="846" t="s">
        <v>1209</v>
      </c>
      <c r="C53" s="526"/>
      <c r="D53" s="135"/>
      <c r="E53" s="135"/>
      <c r="F53" s="315"/>
      <c r="G53" s="527"/>
      <c r="H53" s="315"/>
      <c r="I53" s="528"/>
      <c r="J53" s="315"/>
      <c r="K53" s="527"/>
      <c r="L53" s="315"/>
      <c r="M53" s="535"/>
      <c r="N53" s="527"/>
      <c r="O53" s="315"/>
      <c r="P53" s="314"/>
      <c r="Q53" s="983"/>
    </row>
    <row r="54" spans="1:17">
      <c r="A54" s="982" t="s">
        <v>2049</v>
      </c>
      <c r="B54" s="846" t="s">
        <v>1950</v>
      </c>
      <c r="C54" s="526"/>
      <c r="D54" s="135"/>
      <c r="E54" s="135"/>
      <c r="F54" s="315"/>
      <c r="G54" s="527"/>
      <c r="H54" s="315"/>
      <c r="I54" s="528"/>
      <c r="J54" s="315"/>
      <c r="K54" s="527"/>
      <c r="L54" s="315"/>
      <c r="M54" s="535"/>
      <c r="N54" s="527"/>
      <c r="O54" s="315"/>
      <c r="P54" s="314"/>
      <c r="Q54" s="983"/>
    </row>
    <row r="55" spans="1:17">
      <c r="A55" s="982" t="s">
        <v>2051</v>
      </c>
      <c r="B55" s="846" t="s">
        <v>1951</v>
      </c>
      <c r="C55" s="526" t="s">
        <v>40</v>
      </c>
      <c r="D55" s="135"/>
      <c r="E55" s="135"/>
      <c r="F55" s="315"/>
      <c r="G55" s="527">
        <v>23.759999999999998</v>
      </c>
      <c r="H55" s="315"/>
      <c r="I55" s="528"/>
      <c r="J55" s="315"/>
      <c r="K55" s="527"/>
      <c r="L55" s="315"/>
      <c r="M55" s="535"/>
      <c r="N55" s="527"/>
      <c r="O55" s="315"/>
      <c r="P55" s="314"/>
      <c r="Q55" s="988">
        <v>23.76</v>
      </c>
    </row>
    <row r="56" spans="1:17">
      <c r="A56" s="982" t="s">
        <v>2050</v>
      </c>
      <c r="B56" s="846" t="s">
        <v>1995</v>
      </c>
      <c r="C56" s="526"/>
      <c r="D56" s="135"/>
      <c r="E56" s="135"/>
      <c r="F56" s="315"/>
      <c r="G56" s="527"/>
      <c r="H56" s="315"/>
      <c r="I56" s="528"/>
      <c r="J56" s="315"/>
      <c r="K56" s="527"/>
      <c r="L56" s="315"/>
      <c r="M56" s="535"/>
      <c r="N56" s="527"/>
      <c r="O56" s="315"/>
      <c r="P56" s="314"/>
      <c r="Q56" s="983"/>
    </row>
    <row r="57" spans="1:17">
      <c r="A57" s="982" t="s">
        <v>2052</v>
      </c>
      <c r="B57" s="846" t="s">
        <v>1996</v>
      </c>
      <c r="C57" s="526"/>
      <c r="D57" s="135"/>
      <c r="E57" s="135"/>
      <c r="F57" s="315"/>
      <c r="G57" s="527"/>
      <c r="H57" s="315"/>
      <c r="I57" s="528"/>
      <c r="J57" s="315"/>
      <c r="K57" s="527"/>
      <c r="L57" s="315"/>
      <c r="M57" s="535"/>
      <c r="N57" s="527"/>
      <c r="O57" s="315"/>
      <c r="P57" s="314"/>
      <c r="Q57" s="983"/>
    </row>
    <row r="58" spans="1:17">
      <c r="A58" s="982" t="s">
        <v>2054</v>
      </c>
      <c r="B58" s="846" t="s">
        <v>1997</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2055</v>
      </c>
      <c r="B59" s="846" t="s">
        <v>1998</v>
      </c>
      <c r="C59" s="526" t="s">
        <v>37</v>
      </c>
      <c r="D59" s="135"/>
      <c r="E59" s="135"/>
      <c r="F59" s="315"/>
      <c r="G59" s="527">
        <v>0</v>
      </c>
      <c r="H59" s="315"/>
      <c r="I59" s="528"/>
      <c r="J59" s="315"/>
      <c r="K59" s="527"/>
      <c r="L59" s="315"/>
      <c r="M59" s="535"/>
      <c r="N59" s="527"/>
      <c r="O59" s="315"/>
      <c r="P59" s="314"/>
      <c r="Q59" s="983">
        <f>89.5*0.6</f>
        <v>53.699999999999996</v>
      </c>
    </row>
    <row r="60" spans="1:17">
      <c r="A60" s="982" t="s">
        <v>2056</v>
      </c>
      <c r="B60" s="846" t="s">
        <v>1999</v>
      </c>
      <c r="C60" s="526" t="s">
        <v>1939</v>
      </c>
      <c r="D60" s="135"/>
      <c r="E60" s="135"/>
      <c r="F60" s="315"/>
      <c r="G60" s="527">
        <v>0</v>
      </c>
      <c r="H60" s="315"/>
      <c r="I60" s="528"/>
      <c r="J60" s="315"/>
      <c r="K60" s="527"/>
      <c r="L60" s="315"/>
      <c r="M60" s="535"/>
      <c r="N60" s="527"/>
      <c r="O60" s="315"/>
      <c r="P60" s="314"/>
      <c r="Q60" s="983">
        <f>177.9/2</f>
        <v>88.95</v>
      </c>
    </row>
    <row r="61" spans="1:17">
      <c r="A61" s="982" t="s">
        <v>2053</v>
      </c>
      <c r="B61" s="846" t="s">
        <v>2000</v>
      </c>
      <c r="C61" s="526"/>
      <c r="D61" s="135"/>
      <c r="E61" s="135"/>
      <c r="F61" s="315"/>
      <c r="G61" s="527"/>
      <c r="H61" s="315"/>
      <c r="I61" s="528"/>
      <c r="J61" s="315"/>
      <c r="K61" s="527"/>
      <c r="L61" s="315"/>
      <c r="M61" s="535"/>
      <c r="N61" s="527"/>
      <c r="O61" s="315"/>
      <c r="P61" s="314"/>
      <c r="Q61" s="983"/>
    </row>
    <row r="62" spans="1:17">
      <c r="A62" s="982" t="s">
        <v>2057</v>
      </c>
      <c r="B62" s="846" t="s">
        <v>2001</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2058</v>
      </c>
      <c r="B63" s="846" t="s">
        <v>2002</v>
      </c>
      <c r="C63" s="526" t="s">
        <v>37</v>
      </c>
      <c r="D63" s="135"/>
      <c r="E63" s="135"/>
      <c r="F63" s="315"/>
      <c r="G63" s="527">
        <v>0</v>
      </c>
      <c r="H63" s="315"/>
      <c r="I63" s="528"/>
      <c r="J63" s="315"/>
      <c r="K63" s="527"/>
      <c r="L63" s="315"/>
      <c r="M63" s="535"/>
      <c r="N63" s="527"/>
      <c r="O63" s="315"/>
      <c r="P63" s="314"/>
      <c r="Q63" s="983">
        <f>89.5*0.5</f>
        <v>44.75</v>
      </c>
    </row>
    <row r="64" spans="1:17">
      <c r="A64" s="982" t="s">
        <v>2059</v>
      </c>
      <c r="B64" s="846" t="s">
        <v>2003</v>
      </c>
      <c r="C64" s="526" t="s">
        <v>1939</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2060</v>
      </c>
      <c r="B65" s="616" t="s">
        <v>1211</v>
      </c>
      <c r="C65" s="841"/>
      <c r="D65" s="135"/>
      <c r="E65" s="135"/>
      <c r="F65" s="315"/>
      <c r="G65" s="527"/>
      <c r="H65" s="315"/>
      <c r="I65" s="528"/>
      <c r="J65" s="315"/>
      <c r="K65" s="527"/>
      <c r="L65" s="315"/>
      <c r="M65" s="535"/>
      <c r="N65" s="527"/>
      <c r="O65" s="315"/>
      <c r="P65" s="314"/>
      <c r="Q65" s="983"/>
    </row>
    <row r="66" spans="1:17" ht="13.8">
      <c r="A66" s="982" t="s">
        <v>2061</v>
      </c>
      <c r="B66" s="846" t="s">
        <v>1950</v>
      </c>
      <c r="C66" s="841"/>
      <c r="D66" s="135"/>
      <c r="E66" s="135"/>
      <c r="F66" s="315"/>
      <c r="G66" s="527"/>
      <c r="H66" s="315"/>
      <c r="I66" s="528"/>
      <c r="J66" s="315"/>
      <c r="K66" s="527"/>
      <c r="L66" s="315"/>
      <c r="M66" s="535"/>
      <c r="N66" s="527"/>
      <c r="O66" s="315"/>
      <c r="P66" s="314"/>
      <c r="Q66" s="983"/>
    </row>
    <row r="67" spans="1:17" ht="13.8">
      <c r="A67" s="982" t="s">
        <v>2062</v>
      </c>
      <c r="B67" s="846" t="s">
        <v>1951</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2063</v>
      </c>
      <c r="B68" s="846" t="s">
        <v>2004</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17"/>
      <c r="H69" s="651">
        <f>SUM(H16:H16)</f>
        <v>52854.875800000002</v>
      </c>
      <c r="I69" s="2418"/>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17"/>
      <c r="H70" s="651">
        <f t="shared" ref="H70:H75" si="11">H$69*C70</f>
        <v>5481.0506204600006</v>
      </c>
      <c r="I70" s="2418"/>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17"/>
      <c r="H71" s="651">
        <f t="shared" si="11"/>
        <v>2572.6143421542806</v>
      </c>
      <c r="I71" s="2418"/>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17"/>
      <c r="H72" s="651">
        <f t="shared" si="11"/>
        <v>170.69522286811704</v>
      </c>
      <c r="I72" s="2418"/>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17"/>
      <c r="H73" s="651">
        <f t="shared" si="11"/>
        <v>1539.8757138525002</v>
      </c>
      <c r="I73" s="2418"/>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17"/>
      <c r="H74" s="651">
        <f t="shared" si="11"/>
        <v>813.3200054747598</v>
      </c>
      <c r="I74" s="2418"/>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17"/>
      <c r="H75" s="651">
        <f t="shared" si="11"/>
        <v>313.75939716289065</v>
      </c>
      <c r="I75" s="2418"/>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17"/>
      <c r="H76" s="655">
        <f>SUM(H69:H75)</f>
        <v>63746.191101972552</v>
      </c>
      <c r="I76" s="2418"/>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19" t="s">
        <v>62</v>
      </c>
      <c r="D79" s="2420"/>
      <c r="E79" s="2420"/>
      <c r="F79" s="2420"/>
      <c r="G79" s="2421"/>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195"/>
  <sheetViews>
    <sheetView view="pageBreakPreview" topLeftCell="A136" zoomScale="80" zoomScaleNormal="70" zoomScaleSheetLayoutView="80" workbookViewId="0">
      <selection activeCell="T186" sqref="T186:AA186"/>
    </sheetView>
  </sheetViews>
  <sheetFormatPr baseColWidth="10" defaultColWidth="11.5546875" defaultRowHeight="14.4"/>
  <cols>
    <col min="1" max="2" width="1.44140625" style="1466" customWidth="1"/>
    <col min="3" max="3" width="1.5546875" style="1466" customWidth="1"/>
    <col min="4" max="4" width="11.5546875" style="1466"/>
    <col min="5" max="5" width="2.44140625" style="1466" customWidth="1"/>
    <col min="6" max="6" width="12.44140625" style="1466" customWidth="1"/>
    <col min="7" max="9" width="2.44140625" style="1466" customWidth="1"/>
    <col min="10" max="10" width="1.5546875" style="1466" customWidth="1"/>
    <col min="11" max="11" width="11.5546875" style="1466"/>
    <col min="12" max="13" width="1.5546875" style="1466" customWidth="1"/>
    <col min="14" max="14" width="2.109375" style="1466" customWidth="1"/>
    <col min="15" max="15" width="11.5546875" style="1466"/>
    <col min="16" max="17" width="2.5546875" style="1466" customWidth="1"/>
    <col min="18" max="18" width="9.5546875" style="1466" customWidth="1"/>
    <col min="19" max="21" width="2.5546875" style="1466" customWidth="1"/>
    <col min="22" max="22" width="11.5546875" style="1466"/>
    <col min="23" max="23" width="5" style="1466" customWidth="1"/>
    <col min="24" max="24" width="0.5546875" style="1466" customWidth="1"/>
    <col min="25" max="25" width="5" style="1466" customWidth="1"/>
    <col min="26" max="26" width="8.5546875" style="1466" customWidth="1"/>
    <col min="27" max="27" width="2.5546875" style="1466" customWidth="1"/>
    <col min="28" max="28" width="5.5546875" style="1466" customWidth="1"/>
    <col min="29" max="29" width="8.44140625" style="1466" customWidth="1"/>
    <col min="30" max="30" width="4.44140625" style="1466" customWidth="1"/>
    <col min="31" max="31" width="18.44140625" style="1466" customWidth="1"/>
    <col min="32" max="33" width="3.44140625" style="1466" customWidth="1"/>
    <col min="34" max="34" width="9.5546875" style="1466" customWidth="1"/>
    <col min="35" max="36" width="3.44140625" style="1466" customWidth="1"/>
    <col min="37" max="37" width="14.5546875" style="1466" customWidth="1"/>
    <col min="38" max="39" width="2.5546875" style="1466" customWidth="1"/>
    <col min="40" max="40" width="8" style="1466" customWidth="1"/>
    <col min="41" max="41" width="6" style="1466" customWidth="1"/>
    <col min="42" max="42" width="9" style="1466" customWidth="1"/>
    <col min="43" max="43" width="17.44140625" style="1466" bestFit="1" customWidth="1"/>
    <col min="44" max="44" width="13.44140625" style="1466" bestFit="1" customWidth="1"/>
    <col min="45" max="50" width="11.5546875" style="1466" bestFit="1" customWidth="1"/>
    <col min="51" max="51" width="13.44140625" style="1466" bestFit="1" customWidth="1"/>
    <col min="52" max="16384" width="11.5546875" style="1466"/>
  </cols>
  <sheetData>
    <row r="1" spans="1:42">
      <c r="A1" s="1397"/>
      <c r="B1" s="2440" t="s">
        <v>1864</v>
      </c>
      <c r="C1" s="2440"/>
      <c r="D1" s="2440"/>
      <c r="E1" s="2440"/>
      <c r="F1" s="2440"/>
      <c r="G1" s="2440"/>
      <c r="H1" s="2440"/>
      <c r="I1" s="2440"/>
      <c r="J1" s="2440"/>
      <c r="K1" s="2440"/>
      <c r="L1" s="2440"/>
      <c r="M1" s="2440"/>
      <c r="N1" s="2440"/>
      <c r="O1" s="2440"/>
      <c r="P1" s="2440"/>
      <c r="Q1" s="2440"/>
      <c r="R1" s="2440"/>
      <c r="S1" s="2440"/>
      <c r="T1" s="2440"/>
      <c r="U1" s="2440"/>
      <c r="V1" s="2440"/>
      <c r="W1" s="2440"/>
      <c r="X1" s="2440"/>
      <c r="Y1" s="2440"/>
      <c r="Z1" s="2440"/>
      <c r="AA1" s="2440"/>
      <c r="AB1" s="2440"/>
      <c r="AC1" s="2440"/>
      <c r="AD1" s="2440"/>
      <c r="AE1" s="2440"/>
      <c r="AF1" s="2440"/>
      <c r="AG1" s="2440"/>
      <c r="AH1" s="2440"/>
      <c r="AI1" s="2440"/>
      <c r="AJ1" s="2440"/>
      <c r="AK1" s="2440"/>
      <c r="AL1" s="2440"/>
      <c r="AM1" s="2440"/>
      <c r="AN1" s="2440"/>
      <c r="AO1" s="2440"/>
      <c r="AP1" s="2440"/>
    </row>
    <row r="2" spans="1:42">
      <c r="A2" s="1508"/>
      <c r="B2" s="1509"/>
      <c r="C2" s="2441" t="s">
        <v>4379</v>
      </c>
      <c r="D2" s="2441"/>
      <c r="E2" s="2441"/>
      <c r="F2" s="2441"/>
      <c r="G2" s="2441"/>
      <c r="H2" s="2441"/>
      <c r="I2" s="2441"/>
      <c r="J2" s="2441"/>
      <c r="K2" s="2441"/>
      <c r="L2" s="2441"/>
      <c r="M2" s="2441"/>
      <c r="N2" s="2441"/>
      <c r="O2" s="2441"/>
      <c r="P2" s="2441"/>
      <c r="Q2" s="2441"/>
      <c r="R2" s="2441"/>
      <c r="S2" s="2441"/>
      <c r="T2" s="2441"/>
      <c r="U2" s="2441"/>
      <c r="V2" s="2441"/>
      <c r="W2" s="2441"/>
      <c r="X2" s="2441"/>
      <c r="Y2" s="2441"/>
      <c r="Z2" s="2441"/>
      <c r="AA2" s="2441"/>
      <c r="AB2" s="2441"/>
      <c r="AC2" s="2441"/>
      <c r="AD2" s="2441"/>
      <c r="AE2" s="2441"/>
      <c r="AF2" s="2441"/>
      <c r="AG2" s="2441"/>
      <c r="AH2" s="2441"/>
      <c r="AI2" s="2441"/>
      <c r="AJ2" s="2441"/>
      <c r="AK2" s="2441"/>
      <c r="AL2" s="2441"/>
      <c r="AM2" s="2441"/>
      <c r="AN2" s="2441"/>
      <c r="AO2" s="2441"/>
      <c r="AP2" s="1509"/>
    </row>
    <row r="3" spans="1:42">
      <c r="A3" s="1467"/>
      <c r="B3" s="2442" t="s">
        <v>4368</v>
      </c>
      <c r="C3" s="2442"/>
      <c r="D3" s="2442"/>
      <c r="E3" s="2442"/>
      <c r="F3" s="2442"/>
      <c r="G3" s="2442"/>
      <c r="H3" s="2442"/>
      <c r="I3" s="2442"/>
      <c r="J3" s="2442"/>
      <c r="K3" s="2442"/>
      <c r="L3" s="2442"/>
      <c r="M3" s="2442"/>
      <c r="N3" s="2442"/>
      <c r="O3" s="2442"/>
      <c r="P3" s="2442"/>
      <c r="Q3" s="2442"/>
      <c r="R3" s="2442"/>
      <c r="S3" s="2442"/>
      <c r="T3" s="2442"/>
      <c r="U3" s="2442"/>
      <c r="V3" s="2442"/>
      <c r="W3" s="2442"/>
      <c r="X3" s="2442"/>
      <c r="Y3" s="2442"/>
      <c r="Z3" s="2442"/>
      <c r="AA3" s="2442"/>
      <c r="AB3" s="2442"/>
      <c r="AC3" s="2442"/>
      <c r="AD3" s="2442"/>
      <c r="AE3" s="2442"/>
      <c r="AF3" s="2442"/>
      <c r="AG3" s="2442"/>
      <c r="AH3" s="2442"/>
      <c r="AI3" s="2442"/>
      <c r="AJ3" s="2442"/>
      <c r="AK3" s="2442"/>
      <c r="AL3" s="2442"/>
      <c r="AM3" s="2442"/>
      <c r="AN3" s="2442"/>
      <c r="AO3" s="2442"/>
      <c r="AP3" s="1467"/>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443" t="s">
        <v>1865</v>
      </c>
      <c r="D5" s="2444"/>
      <c r="E5" s="2444"/>
      <c r="F5" s="2444"/>
      <c r="G5" s="2444"/>
      <c r="H5" s="2444"/>
      <c r="I5" s="2444"/>
      <c r="J5" s="2444"/>
      <c r="K5" s="2445"/>
      <c r="L5" s="767"/>
      <c r="M5" s="2446" t="s">
        <v>2237</v>
      </c>
      <c r="N5" s="2447"/>
      <c r="O5" s="2447"/>
      <c r="P5" s="2447"/>
      <c r="Q5" s="2447"/>
      <c r="R5" s="2447"/>
      <c r="S5" s="2447"/>
      <c r="T5" s="2447"/>
      <c r="U5" s="2447"/>
      <c r="V5" s="2447"/>
      <c r="W5" s="2447"/>
      <c r="X5" s="2447"/>
      <c r="Y5" s="2447"/>
      <c r="Z5" s="2447"/>
      <c r="AA5" s="2447"/>
      <c r="AB5" s="2447"/>
      <c r="AC5" s="2447"/>
      <c r="AD5" s="2447"/>
      <c r="AE5" s="2447"/>
      <c r="AF5" s="2447"/>
      <c r="AG5" s="2447"/>
      <c r="AH5" s="2447"/>
      <c r="AI5" s="2447"/>
      <c r="AJ5" s="2447"/>
      <c r="AK5" s="2447"/>
      <c r="AL5" s="2447"/>
      <c r="AM5" s="2447"/>
      <c r="AN5" s="2447"/>
      <c r="AO5" s="2448"/>
      <c r="AP5" s="776"/>
    </row>
    <row r="6" spans="1:42" ht="24" customHeight="1" thickBot="1">
      <c r="A6" s="776"/>
      <c r="B6" s="1145"/>
      <c r="C6" s="2443" t="s">
        <v>1866</v>
      </c>
      <c r="D6" s="2444"/>
      <c r="E6" s="2444"/>
      <c r="F6" s="2444"/>
      <c r="G6" s="2444"/>
      <c r="H6" s="2444"/>
      <c r="I6" s="2444"/>
      <c r="J6" s="2444"/>
      <c r="K6" s="2445"/>
      <c r="L6" s="767"/>
      <c r="M6" s="2446" t="str">
        <f>M5</f>
        <v>MEJORAMIENTO DEL SERVICIO EDUCATIVO EN LA IEP N° 54002 SANTA ROSA E IES SANTA ROSA DEL DISTRITO DE ABANCAY, PROVINCIA DE ABANCAY – REGIÓN APURÍMAC</v>
      </c>
      <c r="N6" s="2447"/>
      <c r="O6" s="2447"/>
      <c r="P6" s="2447"/>
      <c r="Q6" s="2447"/>
      <c r="R6" s="2447"/>
      <c r="S6" s="2447"/>
      <c r="T6" s="2447"/>
      <c r="U6" s="2447"/>
      <c r="V6" s="2447"/>
      <c r="W6" s="2447"/>
      <c r="X6" s="2447"/>
      <c r="Y6" s="2447"/>
      <c r="Z6" s="2447"/>
      <c r="AA6" s="2447"/>
      <c r="AB6" s="2447"/>
      <c r="AC6" s="2447"/>
      <c r="AD6" s="2447"/>
      <c r="AE6" s="2447"/>
      <c r="AF6" s="2447"/>
      <c r="AG6" s="2447"/>
      <c r="AH6" s="2447"/>
      <c r="AI6" s="2447"/>
      <c r="AJ6" s="2447"/>
      <c r="AK6" s="2447"/>
      <c r="AL6" s="2447"/>
      <c r="AM6" s="2447"/>
      <c r="AN6" s="2447"/>
      <c r="AO6" s="2448"/>
      <c r="AP6" s="776"/>
    </row>
    <row r="7" spans="1:42">
      <c r="A7" s="776"/>
      <c r="B7" s="1145"/>
      <c r="C7" s="2449" t="s">
        <v>1867</v>
      </c>
      <c r="D7" s="2450"/>
      <c r="E7" s="2450"/>
      <c r="F7" s="2450"/>
      <c r="G7" s="2450"/>
      <c r="H7" s="2450"/>
      <c r="I7" s="2450"/>
      <c r="J7" s="2450"/>
      <c r="K7" s="2451"/>
      <c r="L7" s="767"/>
      <c r="M7" s="2460" t="s">
        <v>67</v>
      </c>
      <c r="N7" s="2461"/>
      <c r="O7" s="2461"/>
      <c r="P7" s="2461"/>
      <c r="Q7" s="2461"/>
      <c r="R7" s="2461"/>
      <c r="S7" s="2461"/>
      <c r="T7" s="2461"/>
      <c r="U7" s="2461"/>
      <c r="V7" s="2461"/>
      <c r="W7" s="2461"/>
      <c r="X7" s="2461"/>
      <c r="Y7" s="2461"/>
      <c r="Z7" s="2461"/>
      <c r="AA7" s="2461"/>
      <c r="AB7" s="2461"/>
      <c r="AC7" s="2461"/>
      <c r="AD7" s="2461"/>
      <c r="AE7" s="2461"/>
      <c r="AF7" s="2461"/>
      <c r="AG7" s="2461"/>
      <c r="AH7" s="2461"/>
      <c r="AI7" s="2461"/>
      <c r="AJ7" s="2461"/>
      <c r="AK7" s="2461"/>
      <c r="AL7" s="2461"/>
      <c r="AM7" s="2461"/>
      <c r="AN7" s="2461"/>
      <c r="AO7" s="2462"/>
      <c r="AP7" s="776"/>
    </row>
    <row r="8" spans="1:42">
      <c r="A8" s="776"/>
      <c r="B8" s="1145"/>
      <c r="C8" s="2449" t="s">
        <v>1868</v>
      </c>
      <c r="D8" s="2450"/>
      <c r="E8" s="2450"/>
      <c r="F8" s="2450"/>
      <c r="G8" s="2450"/>
      <c r="H8" s="2450"/>
      <c r="I8" s="2450"/>
      <c r="J8" s="2450"/>
      <c r="K8" s="2451"/>
      <c r="L8" s="767"/>
      <c r="M8" s="2452" t="s">
        <v>2236</v>
      </c>
      <c r="N8" s="2453"/>
      <c r="O8" s="2453"/>
      <c r="P8" s="2453"/>
      <c r="Q8" s="2453"/>
      <c r="R8" s="2453"/>
      <c r="S8" s="2453"/>
      <c r="T8" s="2453"/>
      <c r="U8" s="2453"/>
      <c r="V8" s="2453"/>
      <c r="W8" s="2453"/>
      <c r="X8" s="2453"/>
      <c r="Y8" s="2453"/>
      <c r="Z8" s="2453"/>
      <c r="AA8" s="2453"/>
      <c r="AB8" s="2453"/>
      <c r="AC8" s="2453"/>
      <c r="AD8" s="2453"/>
      <c r="AE8" s="2453"/>
      <c r="AF8" s="2453"/>
      <c r="AG8" s="2453"/>
      <c r="AH8" s="2453"/>
      <c r="AI8" s="2453"/>
      <c r="AJ8" s="2453"/>
      <c r="AK8" s="2453"/>
      <c r="AL8" s="2453"/>
      <c r="AM8" s="2453"/>
      <c r="AN8" s="2453"/>
      <c r="AO8" s="2454"/>
      <c r="AP8" s="776"/>
    </row>
    <row r="9" spans="1:42">
      <c r="A9" s="776"/>
      <c r="B9" s="1145"/>
      <c r="C9" s="2449" t="s">
        <v>1869</v>
      </c>
      <c r="D9" s="2450"/>
      <c r="E9" s="2450"/>
      <c r="F9" s="2450"/>
      <c r="G9" s="2450"/>
      <c r="H9" s="2450"/>
      <c r="I9" s="2450"/>
      <c r="J9" s="2450"/>
      <c r="K9" s="2451"/>
      <c r="L9" s="767"/>
      <c r="M9" s="2452" t="s">
        <v>3641</v>
      </c>
      <c r="N9" s="2453"/>
      <c r="O9" s="2453"/>
      <c r="P9" s="2453"/>
      <c r="Q9" s="2453"/>
      <c r="R9" s="2453"/>
      <c r="S9" s="2453"/>
      <c r="T9" s="2453"/>
      <c r="U9" s="2453"/>
      <c r="V9" s="2453"/>
      <c r="W9" s="2453"/>
      <c r="X9" s="2453"/>
      <c r="Y9" s="2453"/>
      <c r="Z9" s="2453"/>
      <c r="AA9" s="2453"/>
      <c r="AB9" s="2453"/>
      <c r="AC9" s="2453"/>
      <c r="AD9" s="2453"/>
      <c r="AE9" s="2453"/>
      <c r="AF9" s="2453"/>
      <c r="AG9" s="2453"/>
      <c r="AH9" s="2453"/>
      <c r="AI9" s="2453"/>
      <c r="AJ9" s="2453"/>
      <c r="AK9" s="2453"/>
      <c r="AL9" s="2453"/>
      <c r="AM9" s="2453"/>
      <c r="AN9" s="2453"/>
      <c r="AO9" s="2454"/>
      <c r="AP9" s="776"/>
    </row>
    <row r="10" spans="1:42">
      <c r="A10" s="776"/>
      <c r="B10" s="1145"/>
      <c r="C10" s="2449" t="s">
        <v>1870</v>
      </c>
      <c r="D10" s="2450"/>
      <c r="E10" s="2450"/>
      <c r="F10" s="2450"/>
      <c r="G10" s="2450"/>
      <c r="H10" s="2450"/>
      <c r="I10" s="2450"/>
      <c r="J10" s="2450"/>
      <c r="K10" s="2451"/>
      <c r="L10" s="767"/>
      <c r="M10" s="2452" t="s">
        <v>2246</v>
      </c>
      <c r="N10" s="2453"/>
      <c r="O10" s="2453"/>
      <c r="P10" s="2453"/>
      <c r="Q10" s="2453"/>
      <c r="R10" s="2453"/>
      <c r="S10" s="2453"/>
      <c r="T10" s="2453"/>
      <c r="U10" s="2453"/>
      <c r="V10" s="2453"/>
      <c r="W10" s="2453"/>
      <c r="X10" s="2453"/>
      <c r="Y10" s="2453"/>
      <c r="Z10" s="2453"/>
      <c r="AA10" s="2453"/>
      <c r="AB10" s="2453"/>
      <c r="AC10" s="2453"/>
      <c r="AD10" s="2453"/>
      <c r="AE10" s="2453"/>
      <c r="AF10" s="2453"/>
      <c r="AG10" s="2453"/>
      <c r="AH10" s="2453"/>
      <c r="AI10" s="2453"/>
      <c r="AJ10" s="2453"/>
      <c r="AK10" s="2453"/>
      <c r="AL10" s="2453"/>
      <c r="AM10" s="2453"/>
      <c r="AN10" s="2453"/>
      <c r="AO10" s="2454"/>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449" t="s">
        <v>1871</v>
      </c>
      <c r="D12" s="2450"/>
      <c r="E12" s="2450"/>
      <c r="F12" s="2450"/>
      <c r="G12" s="2450"/>
      <c r="H12" s="2450"/>
      <c r="I12" s="2450"/>
      <c r="J12" s="2450"/>
      <c r="K12" s="2451"/>
      <c r="L12" s="767"/>
      <c r="M12" s="2455">
        <v>44532</v>
      </c>
      <c r="N12" s="2456"/>
      <c r="O12" s="2456"/>
      <c r="P12" s="2456"/>
      <c r="Q12" s="2456"/>
      <c r="R12" s="2456"/>
      <c r="S12" s="2456"/>
      <c r="T12" s="2456"/>
      <c r="U12" s="2456"/>
      <c r="V12" s="2456"/>
      <c r="W12" s="2456"/>
      <c r="X12" s="2456"/>
      <c r="Y12" s="2456"/>
      <c r="Z12" s="2456"/>
      <c r="AA12" s="2456"/>
      <c r="AB12" s="2456"/>
      <c r="AC12" s="2456"/>
      <c r="AD12" s="2456"/>
      <c r="AE12" s="2456"/>
      <c r="AF12" s="2456"/>
      <c r="AG12" s="2456"/>
      <c r="AH12" s="2456"/>
      <c r="AI12" s="2456"/>
      <c r="AJ12" s="2456"/>
      <c r="AK12" s="2456"/>
      <c r="AL12" s="2456"/>
      <c r="AM12" s="2456"/>
      <c r="AN12" s="2456"/>
      <c r="AO12" s="2457"/>
      <c r="AP12" s="776"/>
    </row>
    <row r="13" spans="1:42">
      <c r="A13" s="2458"/>
      <c r="B13" s="2458"/>
      <c r="C13" s="2458"/>
      <c r="D13" s="2458"/>
      <c r="E13" s="2458"/>
      <c r="F13" s="2458"/>
      <c r="G13" s="2458"/>
      <c r="H13" s="2458"/>
      <c r="I13" s="2458"/>
      <c r="J13" s="2458"/>
      <c r="K13" s="2458"/>
      <c r="L13" s="2458"/>
      <c r="M13" s="2458"/>
      <c r="N13" s="2458"/>
      <c r="O13" s="2458"/>
      <c r="P13" s="2458"/>
      <c r="Q13" s="2458"/>
      <c r="R13" s="2458"/>
      <c r="S13" s="2458"/>
      <c r="T13" s="2458"/>
      <c r="U13" s="2458"/>
      <c r="V13" s="2458"/>
      <c r="W13" s="2458"/>
      <c r="X13" s="2458"/>
      <c r="Y13" s="2458"/>
      <c r="Z13" s="2458"/>
      <c r="AA13" s="2458"/>
      <c r="AB13" s="2458"/>
      <c r="AC13" s="2458"/>
      <c r="AD13" s="2458"/>
      <c r="AE13" s="2458"/>
      <c r="AF13" s="2458"/>
      <c r="AG13" s="2458"/>
      <c r="AH13" s="2458"/>
      <c r="AI13" s="2458"/>
      <c r="AJ13" s="2458"/>
      <c r="AK13" s="2458"/>
      <c r="AL13" s="2458"/>
      <c r="AM13" s="2458"/>
      <c r="AN13" s="2458"/>
      <c r="AO13" s="2458"/>
      <c r="AP13" s="776"/>
    </row>
    <row r="14" spans="1:42" ht="12.75" customHeight="1">
      <c r="A14" s="2459" t="s">
        <v>1872</v>
      </c>
      <c r="B14" s="2459"/>
      <c r="C14" s="2459"/>
      <c r="D14" s="2459"/>
      <c r="E14" s="2459"/>
      <c r="F14" s="2459"/>
      <c r="G14" s="2459"/>
      <c r="H14" s="2459"/>
      <c r="I14" s="2459"/>
      <c r="J14" s="2459"/>
      <c r="K14" s="2458"/>
      <c r="L14" s="2458"/>
      <c r="M14" s="2458"/>
      <c r="N14" s="2458"/>
      <c r="O14" s="2458"/>
      <c r="P14" s="2458"/>
      <c r="Q14" s="2458"/>
      <c r="R14" s="2458"/>
      <c r="S14" s="2458"/>
      <c r="T14" s="2458"/>
      <c r="U14" s="2458"/>
      <c r="V14" s="2458"/>
      <c r="W14" s="2458"/>
      <c r="X14" s="2458"/>
      <c r="Y14" s="2458"/>
      <c r="Z14" s="2458"/>
      <c r="AA14" s="2458"/>
      <c r="AB14" s="2458"/>
      <c r="AC14" s="2458"/>
      <c r="AD14" s="2458"/>
      <c r="AE14" s="2458"/>
      <c r="AF14" s="2458"/>
      <c r="AG14" s="2458"/>
      <c r="AH14" s="2458"/>
      <c r="AI14" s="2458"/>
      <c r="AJ14" s="2458"/>
      <c r="AK14" s="2458"/>
      <c r="AL14" s="2458"/>
      <c r="AM14" s="2458"/>
      <c r="AN14" s="2458"/>
      <c r="AO14" s="2458"/>
      <c r="AP14" s="1491"/>
    </row>
    <row r="15" spans="1:42" ht="12.75" customHeight="1">
      <c r="A15" s="2459"/>
      <c r="B15" s="2459"/>
      <c r="C15" s="2459"/>
      <c r="D15" s="2459"/>
      <c r="E15" s="2459"/>
      <c r="F15" s="2459"/>
      <c r="G15" s="2459"/>
      <c r="H15" s="2459"/>
      <c r="I15" s="2459"/>
      <c r="J15" s="2459"/>
      <c r="K15" s="2458"/>
      <c r="L15" s="2458"/>
      <c r="M15" s="2458"/>
      <c r="N15" s="2458"/>
      <c r="O15" s="2458"/>
      <c r="P15" s="2458"/>
      <c r="Q15" s="2458"/>
      <c r="R15" s="2458"/>
      <c r="S15" s="2458"/>
      <c r="T15" s="2458"/>
      <c r="U15" s="2458"/>
      <c r="V15" s="2458"/>
      <c r="W15" s="2458"/>
      <c r="X15" s="2458"/>
      <c r="Y15" s="2458"/>
      <c r="Z15" s="2458"/>
      <c r="AA15" s="2458"/>
      <c r="AB15" s="2458"/>
      <c r="AC15" s="2458"/>
      <c r="AD15" s="2458"/>
      <c r="AE15" s="2458"/>
      <c r="AF15" s="2458"/>
      <c r="AG15" s="2458"/>
      <c r="AH15" s="2458"/>
      <c r="AI15" s="2458"/>
      <c r="AJ15" s="2458"/>
      <c r="AK15" s="2458"/>
      <c r="AL15" s="2458"/>
      <c r="AM15" s="2458"/>
      <c r="AN15" s="2458"/>
      <c r="AO15" s="2458"/>
      <c r="AP15" s="1491"/>
    </row>
    <row r="16" spans="1:42">
      <c r="A16" s="2459" t="s">
        <v>2180</v>
      </c>
      <c r="B16" s="2459"/>
      <c r="C16" s="2459"/>
      <c r="D16" s="2459"/>
      <c r="E16" s="2459"/>
      <c r="F16" s="2459"/>
      <c r="G16" s="2459"/>
      <c r="H16" s="2459"/>
      <c r="I16" s="2459"/>
      <c r="J16" s="2459"/>
      <c r="K16" s="2458"/>
      <c r="L16" s="2458"/>
      <c r="M16" s="2458"/>
      <c r="N16" s="2458"/>
      <c r="O16" s="2458"/>
      <c r="P16" s="2458"/>
      <c r="Q16" s="2458"/>
      <c r="R16" s="2458"/>
      <c r="S16" s="2458"/>
      <c r="T16" s="2458"/>
      <c r="U16" s="2458"/>
      <c r="V16" s="2458"/>
      <c r="W16" s="2458"/>
      <c r="X16" s="2458"/>
      <c r="Y16" s="2458"/>
      <c r="Z16" s="2458"/>
      <c r="AA16" s="2458"/>
      <c r="AB16" s="2458"/>
      <c r="AC16" s="2458"/>
      <c r="AD16" s="2458"/>
      <c r="AE16" s="2458"/>
      <c r="AF16" s="2458"/>
      <c r="AG16" s="2458"/>
      <c r="AH16" s="2458"/>
      <c r="AI16" s="2458"/>
      <c r="AJ16" s="2458"/>
      <c r="AK16" s="2458"/>
      <c r="AL16" s="2458"/>
      <c r="AM16" s="2458"/>
      <c r="AN16" s="2458"/>
      <c r="AO16" s="2458"/>
      <c r="AP16" s="1491"/>
    </row>
    <row r="17" spans="1:42">
      <c r="A17" s="2234"/>
      <c r="B17" s="2234"/>
      <c r="C17" s="2234"/>
      <c r="D17" s="2245" t="s">
        <v>4343</v>
      </c>
      <c r="E17" s="2234"/>
      <c r="F17" s="2234"/>
      <c r="G17" s="2234"/>
      <c r="H17" s="2234"/>
      <c r="I17" s="2234"/>
      <c r="J17" s="2234"/>
      <c r="K17" s="2233"/>
      <c r="L17" s="2233"/>
      <c r="M17" s="2233"/>
      <c r="N17" s="2233"/>
      <c r="O17" s="2233"/>
      <c r="P17" s="2233"/>
      <c r="Q17" s="2233"/>
      <c r="R17" s="2233"/>
      <c r="S17" s="2233"/>
      <c r="T17" s="2233"/>
      <c r="U17" s="2233"/>
      <c r="V17" s="2233"/>
      <c r="W17" s="2233"/>
      <c r="X17" s="2233"/>
      <c r="Y17" s="2233"/>
      <c r="Z17" s="2233"/>
      <c r="AA17" s="2233"/>
      <c r="AB17" s="2233"/>
      <c r="AC17" s="2233"/>
      <c r="AD17" s="2233"/>
      <c r="AE17" s="2233"/>
      <c r="AF17" s="2233"/>
      <c r="AG17" s="2233"/>
      <c r="AH17" s="2233"/>
      <c r="AI17" s="2233"/>
      <c r="AJ17" s="2233"/>
      <c r="AK17" s="2233"/>
      <c r="AL17" s="2233"/>
      <c r="AM17" s="2233"/>
      <c r="AN17" s="2233"/>
      <c r="AO17" s="2233"/>
      <c r="AP17" s="2233"/>
    </row>
    <row r="18" spans="1:42">
      <c r="A18" s="1491"/>
      <c r="B18" s="1491"/>
      <c r="C18" s="1491"/>
      <c r="D18" s="1360"/>
      <c r="E18" s="1360"/>
      <c r="F18" s="1360"/>
      <c r="G18" s="1360"/>
      <c r="H18" s="1360"/>
      <c r="I18" s="1360"/>
      <c r="J18" s="1360"/>
      <c r="K18" s="1491"/>
      <c r="L18" s="1491"/>
      <c r="M18" s="1491"/>
      <c r="N18" s="1491"/>
      <c r="O18" s="1491"/>
      <c r="P18" s="1491"/>
      <c r="Q18" s="1491"/>
      <c r="R18" s="1491"/>
      <c r="S18" s="1491"/>
      <c r="T18" s="1491"/>
      <c r="U18" s="1491"/>
      <c r="V18" s="1491"/>
      <c r="W18" s="1491"/>
      <c r="X18" s="1491"/>
      <c r="Y18" s="1491"/>
      <c r="Z18" s="1491"/>
      <c r="AA18" s="1491"/>
      <c r="AB18" s="1491"/>
      <c r="AC18" s="1491"/>
      <c r="AD18" s="1491"/>
      <c r="AE18" s="1491"/>
      <c r="AF18" s="1491"/>
      <c r="AG18" s="1491"/>
      <c r="AH18" s="1491"/>
      <c r="AI18" s="1491"/>
      <c r="AJ18" s="1491"/>
      <c r="AK18" s="1491"/>
      <c r="AL18" s="1491"/>
      <c r="AM18" s="1145"/>
      <c r="AN18" s="1145"/>
      <c r="AO18" s="1145"/>
      <c r="AP18" s="1491"/>
    </row>
    <row r="19" spans="1:42">
      <c r="A19" s="1491"/>
      <c r="B19" s="1491"/>
      <c r="C19" s="768"/>
      <c r="D19" s="1490"/>
      <c r="E19" s="1360"/>
      <c r="F19" s="1360"/>
      <c r="G19" s="1360"/>
      <c r="H19" s="1360"/>
      <c r="I19" s="1360"/>
      <c r="J19" s="1360"/>
      <c r="K19" s="769" t="s">
        <v>1873</v>
      </c>
      <c r="L19" s="2469" t="s">
        <v>10</v>
      </c>
      <c r="M19" s="2470"/>
      <c r="N19" s="2470"/>
      <c r="O19" s="2470"/>
      <c r="P19" s="2470"/>
      <c r="Q19" s="2470"/>
      <c r="R19" s="2470"/>
      <c r="S19" s="2470"/>
      <c r="T19" s="2470"/>
      <c r="U19" s="2470"/>
      <c r="V19" s="2470"/>
      <c r="W19" s="2471"/>
      <c r="X19" s="770"/>
      <c r="Y19" s="770"/>
      <c r="Z19" s="767"/>
      <c r="AA19" s="767"/>
      <c r="AB19" s="771" t="s">
        <v>1874</v>
      </c>
      <c r="AC19" s="2472" t="s">
        <v>536</v>
      </c>
      <c r="AD19" s="2473"/>
      <c r="AE19" s="2473"/>
      <c r="AF19" s="2473"/>
      <c r="AG19" s="2473"/>
      <c r="AH19" s="2473"/>
      <c r="AI19" s="2473"/>
      <c r="AJ19" s="2473"/>
      <c r="AK19" s="2473"/>
      <c r="AL19" s="2473"/>
      <c r="AM19" s="2473"/>
      <c r="AN19" s="2473"/>
      <c r="AO19" s="2474"/>
      <c r="AP19" s="1491"/>
    </row>
    <row r="20" spans="1:42">
      <c r="A20" s="1491"/>
      <c r="B20" s="1491"/>
      <c r="C20" s="768"/>
      <c r="D20" s="1490"/>
      <c r="E20" s="1360"/>
      <c r="F20" s="1490"/>
      <c r="G20" s="1360"/>
      <c r="H20" s="1360"/>
      <c r="I20" s="1360"/>
      <c r="J20" s="1360"/>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91"/>
    </row>
    <row r="21" spans="1:42">
      <c r="A21" s="1491"/>
      <c r="B21" s="1491"/>
      <c r="C21" s="768"/>
      <c r="D21" s="1490"/>
      <c r="E21" s="1360"/>
      <c r="F21" s="1490"/>
      <c r="G21" s="1360"/>
      <c r="H21" s="1360"/>
      <c r="I21" s="1360"/>
      <c r="J21" s="1360"/>
      <c r="K21" s="772" t="s">
        <v>1875</v>
      </c>
      <c r="L21" s="2469" t="s">
        <v>536</v>
      </c>
      <c r="M21" s="2470"/>
      <c r="N21" s="2470"/>
      <c r="O21" s="2470"/>
      <c r="P21" s="2470"/>
      <c r="Q21" s="2470"/>
      <c r="R21" s="2470"/>
      <c r="S21" s="2470"/>
      <c r="T21" s="2470"/>
      <c r="U21" s="2470"/>
      <c r="V21" s="2470"/>
      <c r="W21" s="2471"/>
      <c r="X21" s="770"/>
      <c r="Y21" s="775"/>
      <c r="Z21" s="775"/>
      <c r="AA21" s="775"/>
      <c r="AB21" s="775"/>
      <c r="AC21" s="775"/>
      <c r="AD21" s="775"/>
      <c r="AE21" s="775"/>
      <c r="AF21" s="775"/>
      <c r="AG21" s="775"/>
      <c r="AH21" s="775"/>
      <c r="AI21" s="775"/>
      <c r="AJ21" s="775"/>
      <c r="AK21" s="775"/>
      <c r="AL21" s="775"/>
      <c r="AM21" s="775"/>
      <c r="AN21" s="775"/>
      <c r="AO21" s="775"/>
      <c r="AP21" s="1491"/>
    </row>
    <row r="22" spans="1:42">
      <c r="A22" s="1491"/>
      <c r="B22" s="1491"/>
      <c r="C22" s="768"/>
      <c r="D22" s="1490"/>
      <c r="E22" s="1360"/>
      <c r="F22" s="1490"/>
      <c r="G22" s="1360"/>
      <c r="H22" s="1360"/>
      <c r="I22" s="1360"/>
      <c r="J22" s="1360"/>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91"/>
    </row>
    <row r="23" spans="1:42">
      <c r="A23" s="1491"/>
      <c r="B23" s="1491"/>
      <c r="C23" s="768"/>
      <c r="D23" s="1490"/>
      <c r="E23" s="1360"/>
      <c r="F23" s="1490"/>
      <c r="G23" s="1360"/>
      <c r="H23" s="1360"/>
      <c r="I23" s="1360"/>
      <c r="J23" s="1360"/>
      <c r="K23" s="772" t="s">
        <v>1876</v>
      </c>
      <c r="L23" s="2449" t="s">
        <v>2244</v>
      </c>
      <c r="M23" s="2450"/>
      <c r="N23" s="2450"/>
      <c r="O23" s="2450"/>
      <c r="P23" s="2450"/>
      <c r="Q23" s="2450"/>
      <c r="R23" s="2450"/>
      <c r="S23" s="2450"/>
      <c r="T23" s="2450"/>
      <c r="U23" s="2450"/>
      <c r="V23" s="2450"/>
      <c r="W23" s="2450"/>
      <c r="X23" s="2450"/>
      <c r="Y23" s="2450"/>
      <c r="Z23" s="2450"/>
      <c r="AA23" s="2450"/>
      <c r="AB23" s="2450"/>
      <c r="AC23" s="2450"/>
      <c r="AD23" s="2450"/>
      <c r="AE23" s="2450"/>
      <c r="AF23" s="2450"/>
      <c r="AG23" s="2450"/>
      <c r="AH23" s="2450"/>
      <c r="AI23" s="2450"/>
      <c r="AJ23" s="2450"/>
      <c r="AK23" s="2450"/>
      <c r="AL23" s="2450"/>
      <c r="AM23" s="2450"/>
      <c r="AN23" s="2450"/>
      <c r="AO23" s="2451"/>
      <c r="AP23" s="1491"/>
    </row>
    <row r="24" spans="1:42" ht="9.75" customHeight="1">
      <c r="A24" s="1491"/>
      <c r="B24" s="1491"/>
      <c r="C24" s="768"/>
      <c r="D24" s="1490"/>
      <c r="E24" s="1360"/>
      <c r="F24" s="1360"/>
      <c r="G24" s="1360"/>
      <c r="H24" s="1360"/>
      <c r="I24" s="1360"/>
      <c r="J24" s="1360"/>
      <c r="K24" s="1491"/>
      <c r="L24" s="1491"/>
      <c r="M24" s="1491"/>
      <c r="N24" s="1491"/>
      <c r="O24" s="1491"/>
      <c r="P24" s="1491"/>
      <c r="Q24" s="1491"/>
      <c r="R24" s="1491"/>
      <c r="S24" s="1491"/>
      <c r="T24" s="1491"/>
      <c r="U24" s="1491"/>
      <c r="V24" s="1491"/>
      <c r="W24" s="1491"/>
      <c r="X24" s="1491"/>
      <c r="Y24" s="1491"/>
      <c r="Z24" s="1491"/>
      <c r="AA24" s="1491"/>
      <c r="AB24" s="1491"/>
      <c r="AC24" s="1491"/>
      <c r="AD24" s="1491"/>
      <c r="AE24" s="1491"/>
      <c r="AF24" s="1491"/>
      <c r="AG24" s="1491"/>
      <c r="AH24" s="1491"/>
      <c r="AI24" s="1491"/>
      <c r="AJ24" s="1491"/>
      <c r="AK24" s="1491"/>
      <c r="AL24" s="1491"/>
      <c r="AM24" s="1145"/>
      <c r="AN24" s="1145"/>
      <c r="AO24" s="1145"/>
      <c r="AP24" s="1491"/>
    </row>
    <row r="25" spans="1:42" ht="12" customHeight="1">
      <c r="A25" s="2233"/>
      <c r="B25" s="2233"/>
      <c r="C25" s="768"/>
      <c r="D25" s="2245" t="s">
        <v>4344</v>
      </c>
      <c r="E25" s="1360"/>
      <c r="F25" s="1360"/>
      <c r="G25" s="1360"/>
      <c r="H25" s="1360"/>
      <c r="I25" s="1360"/>
      <c r="J25" s="1360"/>
      <c r="K25" s="2233"/>
      <c r="L25" s="2233"/>
      <c r="M25" s="2233"/>
      <c r="N25" s="2233"/>
      <c r="O25" s="2233"/>
      <c r="P25" s="2233"/>
      <c r="Q25" s="2233"/>
      <c r="R25" s="2233"/>
      <c r="S25" s="2233"/>
      <c r="T25" s="2233"/>
      <c r="U25" s="2233"/>
      <c r="V25" s="2233"/>
      <c r="W25" s="2233"/>
      <c r="X25" s="2233"/>
      <c r="Y25" s="2233"/>
      <c r="Z25" s="2233"/>
      <c r="AA25" s="2233"/>
      <c r="AB25" s="2233"/>
      <c r="AC25" s="2233"/>
      <c r="AD25" s="2233"/>
      <c r="AE25" s="2233"/>
      <c r="AF25" s="2233"/>
      <c r="AG25" s="2233"/>
      <c r="AH25" s="2233"/>
      <c r="AI25" s="2233"/>
      <c r="AJ25" s="2233"/>
      <c r="AK25" s="2233"/>
      <c r="AL25" s="2233"/>
      <c r="AM25" s="1145"/>
      <c r="AN25" s="1145"/>
      <c r="AO25" s="1145"/>
      <c r="AP25" s="2233"/>
    </row>
    <row r="26" spans="1:42" ht="9.75" customHeight="1">
      <c r="A26" s="2233"/>
      <c r="B26" s="2233"/>
      <c r="C26" s="768"/>
      <c r="D26" s="2231"/>
      <c r="E26" s="1360"/>
      <c r="F26" s="1360"/>
      <c r="G26" s="1360"/>
      <c r="H26" s="1360"/>
      <c r="I26" s="1360"/>
      <c r="J26" s="1360"/>
      <c r="K26" s="2233"/>
      <c r="L26" s="2233"/>
      <c r="M26" s="2233"/>
      <c r="N26" s="2233"/>
      <c r="O26" s="2233"/>
      <c r="P26" s="2233"/>
      <c r="Q26" s="2233"/>
      <c r="R26" s="2233"/>
      <c r="S26" s="2233"/>
      <c r="T26" s="2233"/>
      <c r="U26" s="2233"/>
      <c r="V26" s="2233"/>
      <c r="W26" s="2233"/>
      <c r="X26" s="2233"/>
      <c r="Y26" s="2233"/>
      <c r="Z26" s="2233"/>
      <c r="AA26" s="2233"/>
      <c r="AB26" s="2233"/>
      <c r="AC26" s="2233"/>
      <c r="AD26" s="2233"/>
      <c r="AE26" s="2233"/>
      <c r="AF26" s="2233"/>
      <c r="AG26" s="2233"/>
      <c r="AH26" s="2233"/>
      <c r="AI26" s="2233"/>
      <c r="AJ26" s="2233"/>
      <c r="AK26" s="2233"/>
      <c r="AL26" s="2233"/>
      <c r="AM26" s="1145"/>
      <c r="AN26" s="1145"/>
      <c r="AO26" s="1145"/>
      <c r="AP26" s="2233"/>
    </row>
    <row r="27" spans="1:42" ht="13.95" customHeight="1">
      <c r="A27" s="1491"/>
      <c r="B27" s="1491"/>
      <c r="C27" s="768"/>
      <c r="D27" s="1490"/>
      <c r="E27" s="1360"/>
      <c r="F27" s="776" t="s">
        <v>8</v>
      </c>
      <c r="G27" s="776"/>
      <c r="H27" s="1360"/>
      <c r="I27" s="1360"/>
      <c r="J27" s="1360"/>
      <c r="K27" s="1491"/>
      <c r="L27" s="1398" t="s">
        <v>4</v>
      </c>
      <c r="M27" s="776" t="s">
        <v>533</v>
      </c>
      <c r="N27" s="1491"/>
      <c r="O27" s="1491"/>
      <c r="P27" s="1491"/>
      <c r="Q27" s="1491"/>
      <c r="R27" s="1491"/>
      <c r="S27" s="1348"/>
      <c r="T27" s="1348"/>
      <c r="U27" s="1348"/>
      <c r="V27" s="1348"/>
      <c r="W27" s="1348"/>
      <c r="X27" s="1348"/>
      <c r="Y27" s="1348"/>
      <c r="Z27" s="1348"/>
      <c r="AA27" s="1348"/>
      <c r="AB27" s="1348"/>
      <c r="AC27" s="1348"/>
      <c r="AD27" s="1348"/>
      <c r="AE27" s="1348"/>
      <c r="AF27" s="1348"/>
      <c r="AG27" s="1348"/>
      <c r="AH27" s="1348"/>
      <c r="AI27" s="1348"/>
      <c r="AJ27" s="1348"/>
      <c r="AK27" s="1348"/>
      <c r="AL27" s="1348"/>
      <c r="AM27" s="1304"/>
      <c r="AN27" s="1304"/>
      <c r="AO27" s="1304"/>
      <c r="AP27" s="1491"/>
    </row>
    <row r="28" spans="1:42" ht="13.95" customHeight="1">
      <c r="A28" s="1491"/>
      <c r="B28" s="1491"/>
      <c r="C28" s="768"/>
      <c r="D28" s="1490"/>
      <c r="E28" s="1360"/>
      <c r="F28" s="776" t="s">
        <v>7</v>
      </c>
      <c r="G28" s="776"/>
      <c r="H28" s="1360"/>
      <c r="I28" s="1360"/>
      <c r="J28" s="1360"/>
      <c r="K28" s="1491"/>
      <c r="L28" s="1398" t="s">
        <v>4</v>
      </c>
      <c r="M28" s="776" t="s">
        <v>1849</v>
      </c>
      <c r="N28" s="1491"/>
      <c r="O28" s="1491"/>
      <c r="P28" s="1491"/>
      <c r="Q28" s="1491"/>
      <c r="R28" s="1491"/>
      <c r="S28" s="1348"/>
      <c r="T28" s="1348"/>
      <c r="U28" s="1348"/>
      <c r="V28" s="1348"/>
      <c r="W28" s="1348"/>
      <c r="X28" s="1348"/>
      <c r="Y28" s="1348"/>
      <c r="Z28" s="1348"/>
      <c r="AA28" s="1348"/>
      <c r="AB28" s="1348"/>
      <c r="AC28" s="1348"/>
      <c r="AD28" s="1348"/>
      <c r="AE28" s="1348"/>
      <c r="AF28" s="1348"/>
      <c r="AG28" s="1348"/>
      <c r="AH28" s="1348"/>
      <c r="AI28" s="1348"/>
      <c r="AJ28" s="1348"/>
      <c r="AK28" s="1348"/>
      <c r="AL28" s="1348"/>
      <c r="AM28" s="1304"/>
      <c r="AN28" s="1304"/>
      <c r="AO28" s="1304"/>
      <c r="AP28" s="1491"/>
    </row>
    <row r="29" spans="1:42" ht="13.95" customHeight="1">
      <c r="A29" s="1491"/>
      <c r="B29" s="1491"/>
      <c r="C29" s="768"/>
      <c r="D29" s="1490"/>
      <c r="E29" s="1360"/>
      <c r="F29" s="2232" t="s">
        <v>1850</v>
      </c>
      <c r="G29" s="2232"/>
      <c r="H29" s="1491"/>
      <c r="I29" s="1360"/>
      <c r="J29" s="1360"/>
      <c r="K29" s="1491"/>
      <c r="L29" s="1398" t="s">
        <v>4</v>
      </c>
      <c r="M29" s="1213" t="s">
        <v>2247</v>
      </c>
      <c r="N29" s="1491"/>
      <c r="O29" s="1491"/>
      <c r="P29" s="1491"/>
      <c r="Q29" s="1491"/>
      <c r="R29" s="1491"/>
      <c r="S29" s="1491"/>
      <c r="T29" s="1491"/>
      <c r="U29" s="1491"/>
      <c r="V29" s="1491"/>
      <c r="W29" s="1491"/>
      <c r="X29" s="1491"/>
      <c r="Y29" s="1491"/>
      <c r="Z29" s="1491"/>
      <c r="AA29" s="1491"/>
      <c r="AB29" s="1491"/>
      <c r="AC29" s="1491"/>
      <c r="AD29" s="1491"/>
      <c r="AE29" s="1491"/>
      <c r="AF29" s="1491"/>
      <c r="AG29" s="1491"/>
      <c r="AH29" s="1491"/>
      <c r="AI29" s="1491"/>
      <c r="AJ29" s="1491"/>
      <c r="AK29" s="1491"/>
      <c r="AL29" s="1491"/>
      <c r="AM29" s="1145"/>
      <c r="AN29" s="1145"/>
      <c r="AO29" s="1145"/>
      <c r="AP29" s="1491"/>
    </row>
    <row r="30" spans="1:42" ht="13.95" customHeight="1">
      <c r="A30" s="1491"/>
      <c r="B30" s="1491"/>
      <c r="C30" s="768"/>
      <c r="D30" s="1490"/>
      <c r="E30" s="1360"/>
      <c r="F30" s="2242" t="s">
        <v>6</v>
      </c>
      <c r="G30" s="2232"/>
      <c r="H30" s="1491"/>
      <c r="I30" s="1360"/>
      <c r="J30" s="1360"/>
      <c r="K30" s="1491"/>
      <c r="L30" s="1398" t="s">
        <v>4</v>
      </c>
      <c r="M30" s="2475" t="str">
        <f>M5</f>
        <v>MEJORAMIENTO DEL SERVICIO EDUCATIVO EN LA IEP N° 54002 SANTA ROSA E IES SANTA ROSA DEL DISTRITO DE ABANCAY, PROVINCIA DE ABANCAY – REGIÓN APURÍMAC</v>
      </c>
      <c r="N30" s="2475"/>
      <c r="O30" s="2475"/>
      <c r="P30" s="2475"/>
      <c r="Q30" s="2475"/>
      <c r="R30" s="2475"/>
      <c r="S30" s="2475"/>
      <c r="T30" s="2475"/>
      <c r="U30" s="2475"/>
      <c r="V30" s="2475"/>
      <c r="W30" s="2475"/>
      <c r="X30" s="2475"/>
      <c r="Y30" s="2475"/>
      <c r="Z30" s="2475"/>
      <c r="AA30" s="2475"/>
      <c r="AB30" s="2475"/>
      <c r="AC30" s="2475"/>
      <c r="AD30" s="2475"/>
      <c r="AE30" s="2475"/>
      <c r="AF30" s="2475"/>
      <c r="AG30" s="2475"/>
      <c r="AH30" s="2475"/>
      <c r="AI30" s="2475"/>
      <c r="AJ30" s="2475"/>
      <c r="AK30" s="2475"/>
      <c r="AL30" s="2475"/>
      <c r="AM30" s="2475"/>
      <c r="AN30" s="2475"/>
      <c r="AO30" s="2475"/>
      <c r="AP30" s="1360"/>
    </row>
    <row r="31" spans="1:42" ht="13.95" customHeight="1">
      <c r="A31" s="1491"/>
      <c r="B31" s="1491"/>
      <c r="C31" s="768"/>
      <c r="D31" s="1490"/>
      <c r="E31" s="1360"/>
      <c r="F31" s="2476" t="s">
        <v>5</v>
      </c>
      <c r="G31" s="2476"/>
      <c r="H31" s="1491"/>
      <c r="I31" s="1360"/>
      <c r="J31" s="1360"/>
      <c r="K31" s="1491"/>
      <c r="L31" s="1398" t="s">
        <v>4</v>
      </c>
      <c r="M31" s="2477" t="s">
        <v>2245</v>
      </c>
      <c r="N31" s="2477"/>
      <c r="O31" s="2477"/>
      <c r="P31" s="2477"/>
      <c r="Q31" s="2477"/>
      <c r="R31" s="2477"/>
      <c r="S31" s="2477"/>
      <c r="T31" s="2477"/>
      <c r="U31" s="2477"/>
      <c r="V31" s="2477"/>
      <c r="W31" s="2477"/>
      <c r="X31" s="2477"/>
      <c r="Y31" s="2477"/>
      <c r="Z31" s="2477"/>
      <c r="AA31" s="2477"/>
      <c r="AB31" s="2477"/>
      <c r="AC31" s="2477"/>
      <c r="AD31" s="2477"/>
      <c r="AE31" s="2477"/>
      <c r="AF31" s="2477"/>
      <c r="AG31" s="2477"/>
      <c r="AH31" s="2477"/>
      <c r="AI31" s="2477"/>
      <c r="AJ31" s="2477"/>
      <c r="AK31" s="2477"/>
      <c r="AL31" s="2477"/>
      <c r="AM31" s="2477"/>
      <c r="AN31" s="2477"/>
      <c r="AO31" s="1145"/>
      <c r="AP31" s="1491"/>
    </row>
    <row r="32" spans="1:42" ht="13.95" customHeight="1">
      <c r="A32" s="1491"/>
      <c r="B32" s="1491"/>
      <c r="C32" s="768"/>
      <c r="D32" s="1360"/>
      <c r="E32" s="1360"/>
      <c r="F32" s="2243" t="s">
        <v>1851</v>
      </c>
      <c r="G32" s="2232"/>
      <c r="H32" s="1491"/>
      <c r="I32" s="1360"/>
      <c r="J32" s="1360"/>
      <c r="K32" s="1491"/>
      <c r="L32" s="1398" t="s">
        <v>4</v>
      </c>
      <c r="M32" s="2463"/>
      <c r="N32" s="2463"/>
      <c r="O32" s="2463"/>
      <c r="P32" s="2463"/>
      <c r="Q32" s="2463"/>
      <c r="R32" s="2463"/>
      <c r="S32" s="2463"/>
      <c r="T32" s="2463"/>
      <c r="U32" s="2463"/>
      <c r="V32" s="2463"/>
      <c r="W32" s="2463"/>
      <c r="X32" s="2463"/>
      <c r="Y32" s="2463"/>
      <c r="Z32" s="2463"/>
      <c r="AA32" s="2463"/>
      <c r="AB32" s="2463"/>
      <c r="AC32" s="2463"/>
      <c r="AD32" s="2463"/>
      <c r="AE32" s="2463"/>
      <c r="AF32" s="2463"/>
      <c r="AG32" s="2463"/>
      <c r="AH32" s="2463"/>
      <c r="AI32" s="2463"/>
      <c r="AJ32" s="2463"/>
      <c r="AK32" s="2463"/>
      <c r="AL32" s="2463"/>
      <c r="AM32" s="2463"/>
      <c r="AN32" s="2463"/>
      <c r="AO32" s="1145"/>
      <c r="AP32" s="1491"/>
    </row>
    <row r="33" spans="1:43" ht="13.95" customHeight="1">
      <c r="A33" s="1491"/>
      <c r="B33" s="1491"/>
      <c r="C33" s="768"/>
      <c r="D33" s="1360"/>
      <c r="E33" s="1360"/>
      <c r="F33" s="2232" t="s">
        <v>1877</v>
      </c>
      <c r="G33" s="776"/>
      <c r="H33" s="1360"/>
      <c r="I33" s="1360"/>
      <c r="J33" s="1360"/>
      <c r="K33" s="1491"/>
      <c r="L33" s="1398" t="s">
        <v>4</v>
      </c>
      <c r="M33" s="2244" t="s">
        <v>11</v>
      </c>
      <c r="N33" s="1348"/>
      <c r="O33" s="1348"/>
      <c r="P33" s="1348"/>
      <c r="Q33" s="1348"/>
      <c r="R33" s="1348"/>
      <c r="S33" s="1348"/>
      <c r="T33" s="1348"/>
      <c r="U33" s="1348"/>
      <c r="V33" s="1348"/>
      <c r="W33" s="1348"/>
      <c r="X33" s="1348"/>
      <c r="Y33" s="1348"/>
      <c r="Z33" s="1348"/>
      <c r="AA33" s="1348"/>
      <c r="AB33" s="1348"/>
      <c r="AC33" s="1348"/>
      <c r="AD33" s="1348"/>
      <c r="AE33" s="1348"/>
      <c r="AF33" s="1348"/>
      <c r="AG33" s="1348"/>
      <c r="AH33" s="1348"/>
      <c r="AI33" s="1348"/>
      <c r="AJ33" s="1348"/>
      <c r="AK33" s="1348"/>
      <c r="AL33" s="1348"/>
      <c r="AM33" s="1304"/>
      <c r="AN33" s="1304"/>
      <c r="AO33" s="1145"/>
      <c r="AP33" s="1491"/>
    </row>
    <row r="34" spans="1:43" ht="6.75" customHeight="1">
      <c r="A34" s="1491"/>
      <c r="B34" s="1491"/>
      <c r="C34" s="768"/>
      <c r="D34" s="1360"/>
      <c r="E34" s="1360"/>
      <c r="F34" s="1360"/>
      <c r="G34" s="1360"/>
      <c r="H34" s="1360"/>
      <c r="I34" s="1360"/>
      <c r="J34" s="1360"/>
      <c r="K34" s="1491"/>
      <c r="L34" s="1491"/>
      <c r="M34" s="1491"/>
      <c r="N34" s="1491"/>
      <c r="O34" s="1491"/>
      <c r="P34" s="1491"/>
      <c r="Q34" s="1491"/>
      <c r="R34" s="1491"/>
      <c r="S34" s="1491"/>
      <c r="T34" s="1491"/>
      <c r="U34" s="1491"/>
      <c r="V34" s="1348"/>
      <c r="W34" s="1348"/>
      <c r="X34" s="1348"/>
      <c r="Y34" s="1348"/>
      <c r="Z34" s="1348"/>
      <c r="AA34" s="1348"/>
      <c r="AB34" s="1348"/>
      <c r="AC34" s="1348"/>
      <c r="AD34" s="1348"/>
      <c r="AE34" s="1348"/>
      <c r="AF34" s="1491"/>
      <c r="AG34" s="1491"/>
      <c r="AH34" s="1491"/>
      <c r="AI34" s="1491"/>
      <c r="AJ34" s="1491"/>
      <c r="AK34" s="1491"/>
      <c r="AL34" s="1491"/>
      <c r="AM34" s="1145"/>
      <c r="AN34" s="1145"/>
      <c r="AO34" s="1145"/>
      <c r="AP34" s="1491"/>
    </row>
    <row r="35" spans="1:43" ht="23.4" customHeight="1">
      <c r="A35" s="2233"/>
      <c r="B35" s="2233"/>
      <c r="C35" s="768"/>
      <c r="D35" s="2245" t="s">
        <v>4345</v>
      </c>
      <c r="E35" s="1360"/>
      <c r="F35" s="1360"/>
      <c r="G35" s="1360"/>
      <c r="H35" s="1360"/>
      <c r="I35" s="1360"/>
      <c r="J35" s="1360"/>
      <c r="K35" s="2233"/>
      <c r="L35" s="2233"/>
      <c r="M35" s="2233"/>
      <c r="N35" s="2233"/>
      <c r="O35" s="2233"/>
      <c r="P35" s="2233"/>
      <c r="Q35" s="2233"/>
      <c r="R35" s="2233"/>
      <c r="S35" s="2233"/>
      <c r="T35" s="2233"/>
      <c r="U35" s="2233"/>
      <c r="V35" s="1348"/>
      <c r="W35" s="1348"/>
      <c r="X35" s="1348"/>
      <c r="Y35" s="1348"/>
      <c r="Z35" s="1348"/>
      <c r="AA35" s="1348"/>
      <c r="AB35" s="1348"/>
      <c r="AC35" s="1348"/>
      <c r="AD35" s="1348"/>
      <c r="AE35" s="1348"/>
      <c r="AF35" s="2233"/>
      <c r="AG35" s="2233"/>
      <c r="AH35" s="2233"/>
      <c r="AI35" s="2233"/>
      <c r="AJ35" s="2233"/>
      <c r="AK35" s="2233"/>
      <c r="AL35" s="2233"/>
      <c r="AM35" s="1145"/>
      <c r="AN35" s="1145"/>
      <c r="AO35" s="1145"/>
      <c r="AP35" s="2233"/>
    </row>
    <row r="36" spans="1:43">
      <c r="A36" s="1491"/>
      <c r="B36" s="1348"/>
      <c r="C36" s="1305"/>
      <c r="D36" s="1490"/>
      <c r="E36" s="1360"/>
      <c r="F36" s="2464" t="s">
        <v>23</v>
      </c>
      <c r="G36" s="2464"/>
      <c r="H36" s="2464"/>
      <c r="I36" s="2464"/>
      <c r="J36" s="2464"/>
      <c r="K36" s="2464"/>
      <c r="L36" s="2464"/>
      <c r="M36" s="2464"/>
      <c r="N36" s="2464"/>
      <c r="O36" s="2464"/>
      <c r="P36" s="2464"/>
      <c r="Q36" s="1491"/>
      <c r="R36" s="1491"/>
      <c r="S36" s="1398" t="s">
        <v>4</v>
      </c>
      <c r="T36" s="1491" t="s">
        <v>1</v>
      </c>
      <c r="U36" s="1491"/>
      <c r="V36" s="2465">
        <v>26822242.739999998</v>
      </c>
      <c r="W36" s="2465"/>
      <c r="X36" s="2465"/>
      <c r="Y36" s="2465"/>
      <c r="Z36" s="2465"/>
      <c r="AA36" s="2465"/>
      <c r="AB36" s="2465"/>
      <c r="AC36" s="2465"/>
      <c r="AD36" s="2465"/>
      <c r="AE36" s="2465"/>
      <c r="AF36" s="2465"/>
      <c r="AG36" s="2465"/>
      <c r="AH36" s="2465"/>
      <c r="AI36" s="2465"/>
      <c r="AJ36" s="2465"/>
      <c r="AK36" s="2465"/>
      <c r="AL36" s="1491"/>
      <c r="AM36" s="1145"/>
      <c r="AN36" s="1145"/>
      <c r="AO36" s="1145"/>
      <c r="AP36" s="1491"/>
    </row>
    <row r="37" spans="1:43">
      <c r="A37" s="1491"/>
      <c r="B37" s="1348"/>
      <c r="C37" s="1305"/>
      <c r="D37" s="1490"/>
      <c r="E37" s="1360"/>
      <c r="F37" s="1490" t="s">
        <v>1878</v>
      </c>
      <c r="G37" s="1490"/>
      <c r="H37" s="1490"/>
      <c r="I37" s="1490"/>
      <c r="J37" s="1490"/>
      <c r="K37" s="1348"/>
      <c r="L37" s="1348"/>
      <c r="M37" s="1348"/>
      <c r="N37" s="1348"/>
      <c r="O37" s="1348"/>
      <c r="P37" s="1348"/>
      <c r="Q37" s="1491"/>
      <c r="R37" s="1491"/>
      <c r="S37" s="1398" t="s">
        <v>4</v>
      </c>
      <c r="T37" s="1491" t="s">
        <v>1</v>
      </c>
      <c r="U37" s="1491"/>
      <c r="V37" s="2466"/>
      <c r="W37" s="2466"/>
      <c r="X37" s="2466"/>
      <c r="Y37" s="2466"/>
      <c r="Z37" s="2466"/>
      <c r="AA37" s="2466"/>
      <c r="AB37" s="2466"/>
      <c r="AC37" s="2466"/>
      <c r="AD37" s="2466"/>
      <c r="AE37" s="1510"/>
      <c r="AF37" s="2467"/>
      <c r="AG37" s="2467"/>
      <c r="AH37" s="2467"/>
      <c r="AI37" s="2468"/>
      <c r="AJ37" s="2468"/>
      <c r="AK37" s="2468"/>
      <c r="AL37" s="1491"/>
      <c r="AM37" s="1145"/>
      <c r="AN37" s="1145"/>
      <c r="AO37" s="1145"/>
      <c r="AP37" s="1491"/>
    </row>
    <row r="38" spans="1:43">
      <c r="A38" s="1491"/>
      <c r="B38" s="1348"/>
      <c r="C38" s="1305"/>
      <c r="D38" s="1490"/>
      <c r="E38" s="1360"/>
      <c r="F38" s="1360" t="s">
        <v>3631</v>
      </c>
      <c r="G38" s="1360"/>
      <c r="H38" s="1360"/>
      <c r="I38" s="1360"/>
      <c r="J38" s="1360"/>
      <c r="K38" s="1491"/>
      <c r="L38" s="1491"/>
      <c r="M38" s="1491"/>
      <c r="N38" s="1491"/>
      <c r="O38" s="1491"/>
      <c r="P38" s="1491"/>
      <c r="Q38" s="1491"/>
      <c r="R38" s="1491"/>
      <c r="S38" s="1398"/>
      <c r="T38" s="1491"/>
      <c r="U38" s="1491"/>
      <c r="V38" s="2478">
        <v>2017</v>
      </c>
      <c r="W38" s="2478"/>
      <c r="X38" s="2478"/>
      <c r="Y38" s="2478">
        <v>2018</v>
      </c>
      <c r="Z38" s="2478"/>
      <c r="AA38" s="2478"/>
      <c r="AB38" s="2478">
        <v>2019</v>
      </c>
      <c r="AC38" s="2478"/>
      <c r="AD38" s="2478"/>
      <c r="AE38" s="1511">
        <v>2020</v>
      </c>
      <c r="AF38" s="2478">
        <v>2021</v>
      </c>
      <c r="AG38" s="2478"/>
      <c r="AH38" s="2478"/>
      <c r="AI38" s="2478" t="s">
        <v>2</v>
      </c>
      <c r="AJ38" s="2478"/>
      <c r="AK38" s="2478"/>
      <c r="AL38" s="1491"/>
      <c r="AM38" s="1145"/>
      <c r="AN38" s="1145"/>
      <c r="AO38" s="1145"/>
      <c r="AP38" s="1491"/>
    </row>
    <row r="39" spans="1:43">
      <c r="A39" s="1491"/>
      <c r="B39" s="1348"/>
      <c r="C39" s="1305"/>
      <c r="D39" s="1490"/>
      <c r="E39" s="1360"/>
      <c r="F39" s="1491"/>
      <c r="G39" s="1360"/>
      <c r="H39" s="1360"/>
      <c r="I39" s="1360"/>
      <c r="J39" s="1360"/>
      <c r="K39" s="1491"/>
      <c r="L39" s="1491"/>
      <c r="M39" s="1491"/>
      <c r="N39" s="1491"/>
      <c r="O39" s="1491"/>
      <c r="P39" s="1491"/>
      <c r="Q39" s="1491"/>
      <c r="R39" s="1491"/>
      <c r="S39" s="1398" t="s">
        <v>4</v>
      </c>
      <c r="T39" s="1491" t="s">
        <v>1</v>
      </c>
      <c r="U39" s="1491"/>
      <c r="V39" s="2479"/>
      <c r="W39" s="2479"/>
      <c r="X39" s="2479"/>
      <c r="Y39" s="2479"/>
      <c r="Z39" s="2479"/>
      <c r="AA39" s="2479"/>
      <c r="AB39" s="2479"/>
      <c r="AC39" s="2479"/>
      <c r="AD39" s="2479"/>
      <c r="AE39" s="1512"/>
      <c r="AF39" s="2480"/>
      <c r="AG39" s="2480"/>
      <c r="AH39" s="2480"/>
      <c r="AI39" s="2480"/>
      <c r="AJ39" s="2480"/>
      <c r="AK39" s="2480"/>
      <c r="AL39" s="1491"/>
      <c r="AM39" s="1145"/>
      <c r="AN39" s="1145"/>
      <c r="AO39" s="1145"/>
      <c r="AP39" s="1491"/>
    </row>
    <row r="40" spans="1:43">
      <c r="A40" s="1491"/>
      <c r="B40" s="1348"/>
      <c r="C40" s="1305"/>
      <c r="D40" s="777">
        <v>7</v>
      </c>
      <c r="E40" s="1360" t="s">
        <v>1880</v>
      </c>
      <c r="F40" s="1360"/>
      <c r="G40" s="1360"/>
      <c r="H40" s="1360"/>
      <c r="K40" s="1491"/>
      <c r="L40" s="1491"/>
      <c r="M40" s="1491"/>
      <c r="N40" s="1491"/>
      <c r="O40" s="1491"/>
      <c r="P40" s="1491"/>
      <c r="Q40" s="1491"/>
      <c r="R40" s="1491"/>
      <c r="S40" s="1398" t="s">
        <v>4</v>
      </c>
      <c r="T40" s="1491" t="s">
        <v>1</v>
      </c>
      <c r="U40" s="1491"/>
      <c r="V40" s="2481"/>
      <c r="W40" s="2481"/>
      <c r="X40" s="2481"/>
      <c r="Y40" s="2482">
        <v>185215.69</v>
      </c>
      <c r="Z40" s="2482"/>
      <c r="AA40" s="2482"/>
      <c r="AB40" s="2479">
        <v>3201879.9</v>
      </c>
      <c r="AC40" s="2479"/>
      <c r="AD40" s="2479"/>
      <c r="AE40" s="1513"/>
      <c r="AF40" s="2480"/>
      <c r="AG40" s="2480"/>
      <c r="AH40" s="2480"/>
      <c r="AI40" s="2480"/>
      <c r="AJ40" s="2480"/>
      <c r="AK40" s="2480"/>
      <c r="AL40" s="1491"/>
      <c r="AM40" s="1145"/>
      <c r="AN40" s="1145"/>
      <c r="AO40" s="1145"/>
      <c r="AP40" s="1491"/>
    </row>
    <row r="41" spans="1:43">
      <c r="A41" s="1491"/>
      <c r="B41" s="1348"/>
      <c r="C41" s="1305"/>
      <c r="D41" s="777" t="s">
        <v>3632</v>
      </c>
      <c r="E41" s="1360" t="s">
        <v>3633</v>
      </c>
      <c r="F41" s="1360"/>
      <c r="G41" s="1360"/>
      <c r="H41" s="1360"/>
      <c r="K41" s="1491"/>
      <c r="L41" s="1491"/>
      <c r="M41" s="1491"/>
      <c r="N41" s="1491"/>
      <c r="O41" s="1491"/>
      <c r="P41" s="1491"/>
      <c r="Q41" s="1491"/>
      <c r="R41" s="1491"/>
      <c r="S41" s="1398" t="s">
        <v>4</v>
      </c>
      <c r="T41" s="1491" t="s">
        <v>1</v>
      </c>
      <c r="U41" s="1491"/>
      <c r="V41" s="2468"/>
      <c r="W41" s="2468"/>
      <c r="X41" s="2468"/>
      <c r="Y41" s="2468"/>
      <c r="Z41" s="2468"/>
      <c r="AA41" s="2468"/>
      <c r="AB41" s="2479">
        <v>584360.64</v>
      </c>
      <c r="AC41" s="2479"/>
      <c r="AD41" s="2479"/>
      <c r="AE41" s="1514">
        <v>6590155.6500000004</v>
      </c>
      <c r="AF41" s="2480">
        <v>9148485</v>
      </c>
      <c r="AG41" s="2480"/>
      <c r="AH41" s="2480"/>
      <c r="AI41" s="2480"/>
      <c r="AJ41" s="2480"/>
      <c r="AK41" s="2480"/>
      <c r="AL41" s="1491"/>
      <c r="AM41" s="1145"/>
      <c r="AN41" s="1145"/>
      <c r="AO41" s="1145"/>
      <c r="AP41" s="1491"/>
      <c r="AQ41" s="1492">
        <f>Y43+AB43</f>
        <v>3971456.23</v>
      </c>
    </row>
    <row r="42" spans="1:43">
      <c r="A42" s="1491"/>
      <c r="B42" s="1348"/>
      <c r="C42" s="1305"/>
      <c r="E42" s="777"/>
      <c r="F42" s="1360"/>
      <c r="G42" s="1360"/>
      <c r="H42" s="1360"/>
      <c r="K42" s="1491"/>
      <c r="L42" s="1491"/>
      <c r="M42" s="1491"/>
      <c r="N42" s="1491"/>
      <c r="O42" s="1491"/>
      <c r="P42" s="1491"/>
      <c r="Q42" s="1491"/>
      <c r="R42" s="1491"/>
      <c r="S42" s="1398"/>
      <c r="T42" s="1491"/>
      <c r="U42" s="1491"/>
      <c r="V42" s="2468"/>
      <c r="W42" s="2468"/>
      <c r="X42" s="2468"/>
      <c r="Y42" s="2491"/>
      <c r="Z42" s="2468"/>
      <c r="AA42" s="2468"/>
      <c r="AB42" s="2479"/>
      <c r="AC42" s="2479"/>
      <c r="AD42" s="2479"/>
      <c r="AE42" s="1515"/>
      <c r="AI42" s="2480"/>
      <c r="AJ42" s="2480"/>
      <c r="AK42" s="2480"/>
      <c r="AL42" s="1491"/>
      <c r="AM42" s="1145"/>
      <c r="AN42" s="1145"/>
      <c r="AO42" s="1145"/>
      <c r="AP42" s="1491"/>
    </row>
    <row r="43" spans="1:43">
      <c r="A43" s="1491"/>
      <c r="B43" s="1348"/>
      <c r="C43" s="1305"/>
      <c r="D43" s="1490"/>
      <c r="E43" s="1360"/>
      <c r="F43" s="1360" t="s">
        <v>3623</v>
      </c>
      <c r="G43" s="1360"/>
      <c r="H43" s="1360"/>
      <c r="I43" s="1360"/>
      <c r="J43" s="1360"/>
      <c r="K43" s="1491"/>
      <c r="L43" s="1491"/>
      <c r="M43" s="1491" t="s">
        <v>2</v>
      </c>
      <c r="N43" s="1491"/>
      <c r="O43" s="1491"/>
      <c r="P43" s="1491"/>
      <c r="Q43" s="1491"/>
      <c r="R43" s="1491"/>
      <c r="S43" s="1491"/>
      <c r="T43" s="1491"/>
      <c r="U43" s="1491"/>
      <c r="V43" s="2492"/>
      <c r="W43" s="2492"/>
      <c r="X43" s="2492"/>
      <c r="Y43" s="2492">
        <f>Y40</f>
        <v>185215.69</v>
      </c>
      <c r="Z43" s="2492"/>
      <c r="AA43" s="2492"/>
      <c r="AB43" s="2492">
        <f>+AB40+AB41</f>
        <v>3786240.54</v>
      </c>
      <c r="AC43" s="2492"/>
      <c r="AD43" s="2492"/>
      <c r="AE43" s="1516">
        <f>+AE41</f>
        <v>6590155.6500000004</v>
      </c>
      <c r="AF43" s="2493">
        <f>+AF41</f>
        <v>9148485</v>
      </c>
      <c r="AG43" s="2493"/>
      <c r="AH43" s="2493"/>
      <c r="AI43" s="2493">
        <f>+AE43+AB43+Y43+AF43</f>
        <v>19710096.880000003</v>
      </c>
      <c r="AJ43" s="2493"/>
      <c r="AK43" s="2493"/>
      <c r="AL43" s="1491"/>
      <c r="AM43" s="1145"/>
      <c r="AN43" s="1145"/>
      <c r="AO43" s="1145"/>
      <c r="AP43" s="1491"/>
      <c r="AQ43" s="1466">
        <v>20993137.52</v>
      </c>
    </row>
    <row r="44" spans="1:43" ht="19.350000000000001" customHeight="1">
      <c r="A44" s="1491"/>
      <c r="B44" s="1348"/>
      <c r="C44" s="1305"/>
      <c r="D44" s="1490"/>
      <c r="E44" s="1360"/>
      <c r="F44" s="1360"/>
      <c r="G44" s="1360"/>
      <c r="H44" s="1360"/>
      <c r="I44" s="1360"/>
      <c r="J44" s="1360"/>
      <c r="K44" s="1491"/>
      <c r="L44" s="1491"/>
      <c r="M44" s="1491"/>
      <c r="N44" s="1491"/>
      <c r="O44" s="1491"/>
      <c r="P44" s="1491"/>
      <c r="Q44" s="1491"/>
      <c r="R44" s="1491"/>
      <c r="S44" s="1491"/>
      <c r="T44" s="1491"/>
      <c r="U44" s="1491"/>
      <c r="V44" s="2483" t="s">
        <v>3720</v>
      </c>
      <c r="W44" s="2483"/>
      <c r="X44" s="2483"/>
      <c r="Y44" s="2483"/>
      <c r="Z44" s="2483"/>
      <c r="AA44" s="2483"/>
      <c r="AB44" s="2483"/>
      <c r="AC44" s="2483"/>
      <c r="AD44" s="2483"/>
      <c r="AE44" s="2483"/>
      <c r="AF44" s="2483"/>
      <c r="AG44" s="2483"/>
      <c r="AH44" s="2483"/>
      <c r="AI44" s="2484">
        <f>V36-AI43</f>
        <v>7112145.8599999957</v>
      </c>
      <c r="AJ44" s="2484"/>
      <c r="AK44" s="2484"/>
      <c r="AL44" s="1491"/>
      <c r="AM44" s="1145"/>
      <c r="AN44" s="1145"/>
      <c r="AO44" s="1145"/>
      <c r="AP44" s="1491"/>
    </row>
    <row r="45" spans="1:43" ht="6.75" customHeight="1">
      <c r="A45" s="1491"/>
      <c r="B45" s="1491"/>
      <c r="C45" s="768"/>
      <c r="D45" s="1360"/>
      <c r="E45" s="1360"/>
      <c r="F45" s="1360"/>
      <c r="G45" s="1360"/>
      <c r="H45" s="1360"/>
      <c r="I45" s="1360"/>
      <c r="J45" s="1360"/>
      <c r="K45" s="1491"/>
      <c r="L45" s="1491"/>
      <c r="M45" s="1491"/>
      <c r="N45" s="1491"/>
      <c r="O45" s="1491"/>
      <c r="P45" s="1491"/>
      <c r="Q45" s="1491"/>
      <c r="R45" s="1491"/>
      <c r="S45" s="1491"/>
      <c r="T45" s="1491"/>
      <c r="U45" s="1491"/>
      <c r="V45" s="807"/>
      <c r="W45" s="807"/>
      <c r="X45" s="807"/>
      <c r="Y45" s="807"/>
      <c r="Z45" s="807"/>
      <c r="AA45" s="807"/>
      <c r="AB45" s="807"/>
      <c r="AC45" s="807"/>
      <c r="AD45" s="807"/>
      <c r="AE45" s="807"/>
      <c r="AF45" s="808"/>
      <c r="AG45" s="808"/>
      <c r="AH45" s="808"/>
      <c r="AI45" s="1491"/>
      <c r="AJ45" s="1491"/>
      <c r="AK45" s="1491"/>
      <c r="AL45" s="1491"/>
      <c r="AM45" s="1145"/>
      <c r="AN45" s="1145"/>
      <c r="AO45" s="1145"/>
      <c r="AP45" s="1491"/>
    </row>
    <row r="46" spans="1:43">
      <c r="A46" s="1491"/>
      <c r="B46" s="768" t="s">
        <v>1881</v>
      </c>
      <c r="C46" s="1491"/>
      <c r="D46" s="1491"/>
      <c r="E46" s="1491"/>
      <c r="F46" s="1491"/>
      <c r="G46" s="1491"/>
      <c r="H46" s="1491"/>
      <c r="I46" s="1491"/>
      <c r="J46" s="1491"/>
      <c r="K46" s="1491"/>
      <c r="L46" s="1491"/>
      <c r="M46" s="1491"/>
      <c r="N46" s="1491"/>
      <c r="O46" s="1491"/>
      <c r="P46" s="1491"/>
      <c r="Q46" s="1491"/>
      <c r="R46" s="1491"/>
      <c r="S46" s="1491"/>
      <c r="T46" s="1491"/>
      <c r="U46" s="1491"/>
      <c r="V46" s="1491"/>
      <c r="W46" s="1491"/>
      <c r="X46" s="1491"/>
      <c r="Y46" s="1491"/>
      <c r="Z46" s="2485"/>
      <c r="AA46" s="2485"/>
      <c r="AB46" s="2485"/>
      <c r="AC46" s="2485"/>
      <c r="AD46" s="1491"/>
      <c r="AE46" s="1491"/>
      <c r="AF46" s="1491"/>
      <c r="AG46" s="1491"/>
      <c r="AH46" s="1492"/>
      <c r="AI46" s="1491"/>
      <c r="AJ46" s="1491"/>
      <c r="AK46" s="1492"/>
      <c r="AL46" s="1491"/>
      <c r="AM46" s="1145"/>
      <c r="AN46" s="1145"/>
      <c r="AO46" s="1145"/>
      <c r="AP46" s="1491"/>
    </row>
    <row r="47" spans="1:43">
      <c r="A47" s="1491"/>
      <c r="B47" s="768"/>
      <c r="C47" s="768" t="s">
        <v>1882</v>
      </c>
      <c r="D47" s="1360"/>
      <c r="E47" s="1360"/>
      <c r="F47" s="1360"/>
      <c r="G47" s="1360"/>
      <c r="H47" s="1360"/>
      <c r="I47" s="1360"/>
      <c r="J47" s="1360"/>
      <c r="K47" s="1360"/>
      <c r="L47" s="1491"/>
      <c r="M47" s="1491"/>
      <c r="N47" s="1491"/>
      <c r="O47" s="1491"/>
      <c r="P47" s="1491"/>
      <c r="Q47" s="1491"/>
      <c r="R47" s="1491"/>
      <c r="S47" s="1491"/>
      <c r="T47" s="1491"/>
      <c r="U47" s="1491"/>
      <c r="V47" s="1491"/>
      <c r="W47" s="1491"/>
      <c r="X47" s="1491"/>
      <c r="Y47" s="1491"/>
      <c r="Z47" s="1491"/>
      <c r="AA47" s="1491"/>
      <c r="AB47" s="1491"/>
      <c r="AC47" s="1492"/>
      <c r="AD47" s="1491"/>
      <c r="AE47" s="1491"/>
      <c r="AF47" s="1491"/>
      <c r="AG47" s="1491"/>
      <c r="AH47" s="1491"/>
      <c r="AI47" s="1491"/>
      <c r="AJ47" s="1491"/>
      <c r="AK47" s="1491"/>
      <c r="AL47" s="1491"/>
      <c r="AM47" s="1491"/>
      <c r="AN47" s="1491"/>
      <c r="AO47" s="1348"/>
      <c r="AP47" s="1491"/>
    </row>
    <row r="48" spans="1:43" ht="7.5" customHeight="1" thickBot="1">
      <c r="A48" s="1491"/>
      <c r="B48" s="768"/>
      <c r="C48" s="1491"/>
      <c r="D48" s="1360"/>
      <c r="E48" s="1491"/>
      <c r="F48" s="768"/>
      <c r="G48" s="1360"/>
      <c r="H48" s="1360"/>
      <c r="I48" s="1360"/>
      <c r="J48" s="1360"/>
      <c r="K48" s="1360"/>
      <c r="L48" s="1491"/>
      <c r="M48" s="1491"/>
      <c r="N48" s="1491"/>
      <c r="O48" s="1491"/>
      <c r="P48" s="1491"/>
      <c r="Q48" s="1491"/>
      <c r="R48" s="1491"/>
      <c r="S48" s="1491"/>
      <c r="T48" s="1491"/>
      <c r="U48" s="1491"/>
      <c r="V48" s="1491"/>
      <c r="W48" s="1491"/>
      <c r="X48" s="1491"/>
      <c r="Y48" s="1491"/>
      <c r="Z48" s="1491"/>
      <c r="AA48" s="1491"/>
      <c r="AB48" s="1491"/>
      <c r="AC48" s="1491"/>
      <c r="AD48" s="1491"/>
      <c r="AE48" s="1491"/>
      <c r="AF48" s="1491"/>
      <c r="AG48" s="1491"/>
      <c r="AH48" s="1491"/>
      <c r="AI48" s="1491"/>
      <c r="AJ48" s="1491"/>
      <c r="AK48" s="1491"/>
      <c r="AL48" s="1491"/>
      <c r="AM48" s="1491"/>
      <c r="AN48" s="1491"/>
      <c r="AO48" s="1491"/>
      <c r="AP48" s="1491"/>
    </row>
    <row r="49" spans="1:42" ht="15.75" customHeight="1" thickBot="1">
      <c r="A49" s="1491"/>
      <c r="B49" s="768"/>
      <c r="C49" s="1491"/>
      <c r="D49" s="1360"/>
      <c r="E49" s="2486" t="s">
        <v>1883</v>
      </c>
      <c r="F49" s="2487"/>
      <c r="G49" s="2487"/>
      <c r="H49" s="2487"/>
      <c r="I49" s="2487"/>
      <c r="J49" s="2487"/>
      <c r="K49" s="2487"/>
      <c r="L49" s="2488"/>
      <c r="M49" s="2489" t="s">
        <v>1884</v>
      </c>
      <c r="N49" s="2487"/>
      <c r="O49" s="2487"/>
      <c r="P49" s="2487"/>
      <c r="Q49" s="2487"/>
      <c r="R49" s="2487"/>
      <c r="S49" s="2487"/>
      <c r="T49" s="2488"/>
      <c r="U49" s="2489" t="s">
        <v>1885</v>
      </c>
      <c r="V49" s="2487"/>
      <c r="W49" s="2487"/>
      <c r="X49" s="2487"/>
      <c r="Y49" s="2487"/>
      <c r="Z49" s="2487"/>
      <c r="AA49" s="2487"/>
      <c r="AB49" s="2488"/>
      <c r="AC49" s="2489" t="s">
        <v>3696</v>
      </c>
      <c r="AD49" s="2487"/>
      <c r="AE49" s="2487"/>
      <c r="AF49" s="2487"/>
      <c r="AG49" s="2487"/>
      <c r="AH49" s="2487"/>
      <c r="AI49" s="2487"/>
      <c r="AJ49" s="2487"/>
      <c r="AK49" s="2490"/>
      <c r="AL49" s="767"/>
      <c r="AM49" s="767"/>
      <c r="AN49" s="767"/>
      <c r="AO49" s="767"/>
      <c r="AP49" s="1491"/>
    </row>
    <row r="50" spans="1:42" ht="15" thickBot="1">
      <c r="A50" s="1491"/>
      <c r="B50" s="768"/>
      <c r="C50" s="1491"/>
      <c r="D50" s="1360"/>
      <c r="E50" s="2509">
        <v>43662</v>
      </c>
      <c r="F50" s="2510"/>
      <c r="G50" s="2510"/>
      <c r="H50" s="2510"/>
      <c r="I50" s="2510"/>
      <c r="J50" s="2510"/>
      <c r="K50" s="2510"/>
      <c r="L50" s="2511"/>
      <c r="M50" s="2509">
        <v>43663</v>
      </c>
      <c r="N50" s="2510"/>
      <c r="O50" s="2510"/>
      <c r="P50" s="2510"/>
      <c r="Q50" s="2510"/>
      <c r="R50" s="2510"/>
      <c r="S50" s="2510"/>
      <c r="T50" s="2512"/>
      <c r="U50" s="2513">
        <v>44082</v>
      </c>
      <c r="V50" s="2510"/>
      <c r="W50" s="2510"/>
      <c r="X50" s="2510"/>
      <c r="Y50" s="2510"/>
      <c r="Z50" s="2510"/>
      <c r="AA50" s="2510"/>
      <c r="AB50" s="2512"/>
      <c r="AC50" s="2513">
        <v>44586</v>
      </c>
      <c r="AD50" s="2510"/>
      <c r="AE50" s="2510"/>
      <c r="AF50" s="2510"/>
      <c r="AG50" s="2510"/>
      <c r="AH50" s="2510"/>
      <c r="AI50" s="2510"/>
      <c r="AJ50" s="2510"/>
      <c r="AK50" s="2512"/>
      <c r="AL50" s="767"/>
      <c r="AM50" s="767"/>
      <c r="AN50" s="767"/>
      <c r="AO50" s="767"/>
      <c r="AP50" s="1491"/>
    </row>
    <row r="51" spans="1:42">
      <c r="A51" s="1491"/>
      <c r="B51" s="768"/>
      <c r="C51" s="1491"/>
      <c r="D51" s="1360"/>
      <c r="E51" s="767"/>
      <c r="F51" s="767"/>
      <c r="G51" s="767"/>
      <c r="H51" s="767"/>
      <c r="I51" s="767"/>
      <c r="J51" s="767"/>
      <c r="K51" s="767"/>
      <c r="L51" s="767"/>
      <c r="M51" s="767"/>
      <c r="N51" s="767"/>
      <c r="O51" s="2514"/>
      <c r="P51" s="2514"/>
      <c r="Q51" s="2514"/>
      <c r="R51" s="2514"/>
      <c r="S51" s="2514"/>
      <c r="T51" s="2514"/>
      <c r="U51" s="2514"/>
      <c r="V51" s="2514"/>
      <c r="W51" s="767"/>
      <c r="X51" s="767"/>
      <c r="Y51" s="767"/>
      <c r="Z51" s="767"/>
      <c r="AA51" s="767"/>
      <c r="AB51" s="767"/>
      <c r="AC51" s="767"/>
      <c r="AD51" s="767"/>
      <c r="AE51" s="767"/>
      <c r="AF51" s="767"/>
      <c r="AG51" s="767"/>
      <c r="AH51" s="767"/>
      <c r="AI51" s="767"/>
      <c r="AJ51" s="767"/>
      <c r="AK51" s="767"/>
      <c r="AL51" s="767"/>
      <c r="AM51" s="767"/>
      <c r="AN51" s="767"/>
      <c r="AO51" s="767"/>
      <c r="AP51" s="1491"/>
    </row>
    <row r="52" spans="1:42" ht="5.25" customHeight="1">
      <c r="A52" s="1491"/>
      <c r="B52" s="768"/>
      <c r="C52" s="1491"/>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91"/>
    </row>
    <row r="53" spans="1:42" ht="15" customHeight="1">
      <c r="A53" s="1455"/>
      <c r="B53" s="1464"/>
      <c r="C53" s="1455"/>
      <c r="D53" s="1463"/>
      <c r="E53" s="1469"/>
      <c r="F53" s="1469"/>
      <c r="G53" s="2494" t="s">
        <v>1886</v>
      </c>
      <c r="H53" s="2495"/>
      <c r="I53" s="2495"/>
      <c r="J53" s="2495"/>
      <c r="K53" s="2495"/>
      <c r="L53" s="2495"/>
      <c r="M53" s="2495"/>
      <c r="N53" s="2495"/>
      <c r="O53" s="2495"/>
      <c r="P53" s="2495"/>
      <c r="Q53" s="2495"/>
      <c r="R53" s="2495"/>
      <c r="S53" s="2495"/>
      <c r="T53" s="2495"/>
      <c r="U53" s="2496"/>
      <c r="V53" s="2497">
        <v>420</v>
      </c>
      <c r="W53" s="2432"/>
      <c r="X53" s="2498"/>
      <c r="Y53" s="1469"/>
      <c r="Z53" s="1469"/>
      <c r="AA53" s="1469"/>
      <c r="AB53" s="1469"/>
      <c r="AC53" s="1469"/>
      <c r="AD53" s="1469"/>
      <c r="AE53" s="1469"/>
      <c r="AF53" s="1469"/>
      <c r="AG53" s="1469"/>
      <c r="AH53" s="1469"/>
      <c r="AI53" s="1469"/>
      <c r="AJ53" s="1469"/>
      <c r="AK53" s="1469"/>
      <c r="AL53" s="1469"/>
      <c r="AM53" s="1469"/>
      <c r="AN53" s="1469"/>
      <c r="AO53" s="1469"/>
      <c r="AP53" s="1455"/>
    </row>
    <row r="54" spans="1:42" ht="6" customHeight="1">
      <c r="A54" s="1455"/>
      <c r="B54" s="1464"/>
      <c r="C54" s="1455"/>
      <c r="D54" s="1463"/>
      <c r="E54" s="1470"/>
      <c r="F54" s="1470"/>
      <c r="G54" s="1470"/>
      <c r="H54" s="1470"/>
      <c r="I54" s="1470"/>
      <c r="J54" s="1470"/>
      <c r="K54" s="1470"/>
      <c r="L54" s="1470"/>
      <c r="M54" s="1470"/>
      <c r="N54" s="1470"/>
      <c r="O54" s="1470"/>
      <c r="P54" s="1470"/>
      <c r="Q54" s="1470"/>
      <c r="R54" s="1470"/>
      <c r="S54" s="1470"/>
      <c r="T54" s="1470"/>
      <c r="U54" s="1470"/>
      <c r="V54" s="1469"/>
      <c r="W54" s="1469"/>
      <c r="X54" s="1469"/>
      <c r="Y54" s="1469"/>
      <c r="Z54" s="1469"/>
      <c r="AA54" s="1469"/>
      <c r="AB54" s="1469"/>
      <c r="AC54" s="1469"/>
      <c r="AD54" s="1469"/>
      <c r="AE54" s="1469"/>
      <c r="AF54" s="1469"/>
      <c r="AG54" s="1469"/>
      <c r="AH54" s="1469"/>
      <c r="AI54" s="1469"/>
      <c r="AJ54" s="1469"/>
      <c r="AK54" s="1469"/>
      <c r="AL54" s="1469"/>
      <c r="AM54" s="1469"/>
      <c r="AN54" s="1468"/>
      <c r="AO54" s="1468"/>
      <c r="AP54" s="1455"/>
    </row>
    <row r="55" spans="1:42" ht="15" customHeight="1">
      <c r="A55" s="1455"/>
      <c r="B55" s="1464"/>
      <c r="C55" s="1455"/>
      <c r="E55" s="1462"/>
      <c r="F55" s="1462"/>
      <c r="G55" s="1469"/>
      <c r="H55" s="1517"/>
      <c r="I55" s="2494" t="s">
        <v>1887</v>
      </c>
      <c r="J55" s="2495"/>
      <c r="K55" s="2495"/>
      <c r="L55" s="2495"/>
      <c r="M55" s="2495"/>
      <c r="N55" s="2495"/>
      <c r="O55" s="2495"/>
      <c r="P55" s="2495"/>
      <c r="Q55" s="2495"/>
      <c r="R55" s="2495"/>
      <c r="S55" s="2495"/>
      <c r="T55" s="2495"/>
      <c r="U55" s="2496"/>
      <c r="V55" s="2497">
        <v>114</v>
      </c>
      <c r="W55" s="2432"/>
      <c r="X55" s="2498"/>
      <c r="Y55" s="1462"/>
      <c r="Z55" s="2499" t="s">
        <v>1888</v>
      </c>
      <c r="AA55" s="2499"/>
      <c r="AB55" s="2499"/>
      <c r="AC55" s="2500"/>
      <c r="AD55" s="2501" t="s">
        <v>3651</v>
      </c>
      <c r="AE55" s="2502"/>
      <c r="AF55" s="2503"/>
      <c r="AG55" s="2504" t="s">
        <v>1889</v>
      </c>
      <c r="AH55" s="2505"/>
      <c r="AI55" s="2500"/>
      <c r="AJ55" s="2506">
        <v>44082</v>
      </c>
      <c r="AK55" s="2507"/>
      <c r="AL55" s="2507"/>
      <c r="AM55" s="2507"/>
      <c r="AN55" s="2507"/>
      <c r="AO55" s="2508"/>
      <c r="AP55" s="1455"/>
    </row>
    <row r="56" spans="1:42" ht="6.75" customHeight="1">
      <c r="A56" s="1455"/>
      <c r="B56" s="1464"/>
      <c r="C56" s="1455"/>
      <c r="D56" s="1463"/>
      <c r="E56" s="1470"/>
      <c r="F56" s="1470"/>
      <c r="G56" s="1469"/>
      <c r="H56" s="1458"/>
      <c r="I56" s="1470"/>
      <c r="J56" s="1470"/>
      <c r="K56" s="1470"/>
      <c r="L56" s="1470"/>
      <c r="M56" s="1470"/>
      <c r="N56" s="1470"/>
      <c r="O56" s="1470"/>
      <c r="P56" s="1470"/>
      <c r="Q56" s="1470"/>
      <c r="R56" s="1470"/>
      <c r="S56" s="1470"/>
      <c r="T56" s="1470"/>
      <c r="U56" s="1470"/>
      <c r="V56" s="1469"/>
      <c r="W56" s="1469"/>
      <c r="X56" s="1469"/>
      <c r="Y56" s="1469"/>
      <c r="Z56" s="1469"/>
      <c r="AA56" s="1469"/>
      <c r="AB56" s="1469"/>
      <c r="AC56" s="1469"/>
      <c r="AD56" s="1469"/>
      <c r="AE56" s="1469"/>
      <c r="AF56" s="1469"/>
      <c r="AG56" s="1469"/>
      <c r="AH56" s="1469"/>
      <c r="AI56" s="1469"/>
      <c r="AJ56" s="1469"/>
      <c r="AK56" s="1469"/>
      <c r="AL56" s="1469"/>
      <c r="AM56" s="1469"/>
      <c r="AN56" s="1468"/>
      <c r="AO56" s="1468"/>
      <c r="AP56" s="1455"/>
    </row>
    <row r="57" spans="1:42" ht="15" customHeight="1">
      <c r="A57" s="1455"/>
      <c r="B57" s="1464"/>
      <c r="C57" s="1455"/>
      <c r="E57" s="1462"/>
      <c r="F57" s="1462"/>
      <c r="G57" s="1469"/>
      <c r="H57" s="1517"/>
      <c r="I57" s="2494" t="s">
        <v>1890</v>
      </c>
      <c r="J57" s="2495"/>
      <c r="K57" s="2495"/>
      <c r="L57" s="2495"/>
      <c r="M57" s="2495"/>
      <c r="N57" s="2495"/>
      <c r="O57" s="2495"/>
      <c r="P57" s="2495"/>
      <c r="Q57" s="2495"/>
      <c r="R57" s="2495"/>
      <c r="S57" s="2495"/>
      <c r="T57" s="2495"/>
      <c r="U57" s="2496"/>
      <c r="V57" s="2497">
        <v>103</v>
      </c>
      <c r="W57" s="2432"/>
      <c r="X57" s="2498"/>
      <c r="Y57" s="1462"/>
      <c r="Z57" s="2499" t="s">
        <v>1888</v>
      </c>
      <c r="AA57" s="2499"/>
      <c r="AB57" s="2499"/>
      <c r="AC57" s="2500"/>
      <c r="AD57" s="2501" t="s">
        <v>3697</v>
      </c>
      <c r="AE57" s="2502"/>
      <c r="AF57" s="2503"/>
      <c r="AG57" s="2504" t="s">
        <v>1889</v>
      </c>
      <c r="AH57" s="2505"/>
      <c r="AI57" s="2500"/>
      <c r="AJ57" s="2527">
        <v>44195</v>
      </c>
      <c r="AK57" s="2528"/>
      <c r="AL57" s="2528"/>
      <c r="AM57" s="2528"/>
      <c r="AN57" s="2528"/>
      <c r="AO57" s="2529"/>
      <c r="AP57" s="1455"/>
    </row>
    <row r="58" spans="1:42" ht="6.75" customHeight="1">
      <c r="A58" s="1455"/>
      <c r="B58" s="1464"/>
      <c r="C58" s="1455"/>
      <c r="D58" s="1463"/>
      <c r="E58" s="1470"/>
      <c r="F58" s="1470"/>
      <c r="G58" s="1469"/>
      <c r="H58" s="1458"/>
      <c r="I58" s="1470"/>
      <c r="J58" s="1470"/>
      <c r="K58" s="1470"/>
      <c r="L58" s="1470"/>
      <c r="M58" s="1470"/>
      <c r="N58" s="1470"/>
      <c r="O58" s="1470"/>
      <c r="P58" s="1470"/>
      <c r="Q58" s="1470"/>
      <c r="R58" s="1470"/>
      <c r="S58" s="1470"/>
      <c r="T58" s="1470"/>
      <c r="U58" s="1470"/>
      <c r="V58" s="1469"/>
      <c r="W58" s="1469"/>
      <c r="X58" s="1469"/>
      <c r="Y58" s="1469"/>
      <c r="Z58" s="1469"/>
      <c r="AA58" s="1469"/>
      <c r="AB58" s="1469"/>
      <c r="AC58" s="1469"/>
      <c r="AD58" s="1469"/>
      <c r="AE58" s="1469"/>
      <c r="AF58" s="1469"/>
      <c r="AG58" s="1469"/>
      <c r="AH58" s="1469"/>
      <c r="AI58" s="1518"/>
      <c r="AJ58" s="1469"/>
      <c r="AK58" s="1469"/>
      <c r="AL58" s="1469"/>
      <c r="AM58" s="1469"/>
      <c r="AN58" s="1468"/>
      <c r="AO58" s="1468"/>
      <c r="AP58" s="1455"/>
    </row>
    <row r="59" spans="1:42" ht="15" customHeight="1">
      <c r="A59" s="1455"/>
      <c r="B59" s="1464"/>
      <c r="C59" s="1455"/>
      <c r="E59" s="1462"/>
      <c r="F59" s="1462"/>
      <c r="G59" s="1469"/>
      <c r="H59" s="1517"/>
      <c r="I59" s="2494" t="s">
        <v>1891</v>
      </c>
      <c r="J59" s="2495"/>
      <c r="K59" s="2495"/>
      <c r="L59" s="2495"/>
      <c r="M59" s="2495"/>
      <c r="N59" s="2495"/>
      <c r="O59" s="2495"/>
      <c r="P59" s="2495"/>
      <c r="Q59" s="2495"/>
      <c r="R59" s="2495"/>
      <c r="S59" s="2495"/>
      <c r="T59" s="2495"/>
      <c r="U59" s="2496"/>
      <c r="V59" s="2497">
        <v>137</v>
      </c>
      <c r="W59" s="2432"/>
      <c r="X59" s="2498"/>
      <c r="Y59" s="1462"/>
      <c r="Z59" s="2499" t="s">
        <v>1888</v>
      </c>
      <c r="AA59" s="2499"/>
      <c r="AB59" s="2499"/>
      <c r="AC59" s="2500"/>
      <c r="AD59" s="2501" t="s">
        <v>4342</v>
      </c>
      <c r="AE59" s="2502"/>
      <c r="AF59" s="2503"/>
      <c r="AG59" s="2504" t="s">
        <v>1889</v>
      </c>
      <c r="AH59" s="2505"/>
      <c r="AI59" s="2500"/>
      <c r="AJ59" s="2527">
        <v>44436</v>
      </c>
      <c r="AK59" s="2528"/>
      <c r="AL59" s="2528"/>
      <c r="AM59" s="2528"/>
      <c r="AN59" s="2528"/>
      <c r="AO59" s="2529"/>
      <c r="AP59" s="1455"/>
    </row>
    <row r="60" spans="1:42" ht="4.5" customHeight="1">
      <c r="A60" s="1455"/>
      <c r="B60" s="1464"/>
      <c r="C60" s="1455"/>
      <c r="D60" s="1462"/>
      <c r="E60" s="1462"/>
      <c r="F60" s="1462"/>
      <c r="G60" s="1462"/>
      <c r="H60" s="1462"/>
      <c r="I60" s="1462"/>
      <c r="J60" s="1462"/>
      <c r="K60" s="1462"/>
      <c r="L60" s="1462"/>
      <c r="M60" s="1462"/>
      <c r="N60" s="1462"/>
      <c r="O60" s="1462"/>
      <c r="P60" s="1462"/>
      <c r="Q60" s="1462"/>
      <c r="R60" s="1462"/>
      <c r="S60" s="1462"/>
      <c r="T60" s="1462"/>
      <c r="U60" s="1462"/>
      <c r="V60" s="1457"/>
      <c r="W60" s="1457"/>
      <c r="X60" s="1457"/>
      <c r="Y60" s="1462"/>
      <c r="Z60" s="1462"/>
      <c r="AA60" s="1462"/>
      <c r="AB60" s="1462"/>
      <c r="AC60" s="1462"/>
      <c r="AD60" s="1462"/>
      <c r="AE60" s="1462"/>
      <c r="AF60" s="1462"/>
      <c r="AG60" s="1462"/>
      <c r="AH60" s="1462"/>
      <c r="AI60" s="1462"/>
      <c r="AJ60" s="1462"/>
      <c r="AK60" s="1462"/>
      <c r="AL60" s="1462"/>
      <c r="AM60" s="1462"/>
      <c r="AN60" s="1462"/>
      <c r="AO60" s="1462"/>
      <c r="AP60" s="1455"/>
    </row>
    <row r="61" spans="1:42" ht="13.8" customHeight="1">
      <c r="A61" s="1455"/>
      <c r="B61" s="1464"/>
      <c r="C61" s="1455"/>
      <c r="D61" s="1462"/>
      <c r="E61" s="1462"/>
      <c r="F61" s="1462"/>
      <c r="G61" s="1462"/>
      <c r="H61" s="1462"/>
      <c r="I61" s="2494" t="s">
        <v>4341</v>
      </c>
      <c r="J61" s="2495"/>
      <c r="K61" s="2495"/>
      <c r="L61" s="2495"/>
      <c r="M61" s="2495"/>
      <c r="N61" s="2495"/>
      <c r="O61" s="2495"/>
      <c r="P61" s="2495"/>
      <c r="Q61" s="2495"/>
      <c r="R61" s="2495"/>
      <c r="S61" s="2495"/>
      <c r="T61" s="2495"/>
      <c r="U61" s="2496"/>
      <c r="V61" s="2497">
        <v>150</v>
      </c>
      <c r="W61" s="2432"/>
      <c r="X61" s="2498"/>
      <c r="Y61" s="1462"/>
      <c r="Z61" s="2499" t="s">
        <v>1888</v>
      </c>
      <c r="AA61" s="2499"/>
      <c r="AB61" s="2499"/>
      <c r="AC61" s="2500"/>
      <c r="AD61" s="2501" t="s">
        <v>4366</v>
      </c>
      <c r="AE61" s="2502"/>
      <c r="AF61" s="2503"/>
      <c r="AG61" s="2504" t="s">
        <v>1889</v>
      </c>
      <c r="AH61" s="2505"/>
      <c r="AI61" s="2500"/>
      <c r="AJ61" s="2527">
        <v>44221</v>
      </c>
      <c r="AK61" s="2528"/>
      <c r="AL61" s="2528"/>
      <c r="AM61" s="2528"/>
      <c r="AN61" s="2528"/>
      <c r="AO61" s="2529"/>
      <c r="AP61" s="1455"/>
    </row>
    <row r="62" spans="1:42" ht="12.6" customHeight="1">
      <c r="A62" s="1455"/>
      <c r="B62" s="1464"/>
      <c r="C62" s="1455"/>
      <c r="D62" s="1462"/>
      <c r="E62" s="1462"/>
      <c r="F62" s="1462"/>
      <c r="G62" s="1462"/>
      <c r="H62" s="1462"/>
      <c r="I62" s="1462"/>
      <c r="J62" s="1462"/>
      <c r="K62" s="1462"/>
      <c r="L62" s="1462"/>
      <c r="M62" s="1462"/>
      <c r="N62" s="1462"/>
      <c r="O62" s="1462"/>
      <c r="P62" s="1462"/>
      <c r="Q62" s="1462"/>
      <c r="R62" s="1462"/>
      <c r="S62" s="1462"/>
      <c r="T62" s="1462"/>
      <c r="U62" s="1462"/>
      <c r="V62" s="1457"/>
      <c r="W62" s="1457"/>
      <c r="X62" s="1457"/>
      <c r="Y62" s="1462"/>
      <c r="Z62" s="1462"/>
      <c r="AA62" s="1462"/>
      <c r="AB62" s="1462"/>
      <c r="AC62" s="1462"/>
      <c r="AD62" s="1462"/>
      <c r="AE62" s="1462"/>
      <c r="AF62" s="1462"/>
      <c r="AG62" s="1462"/>
      <c r="AH62" s="1462"/>
      <c r="AI62" s="1462"/>
      <c r="AJ62" s="1462"/>
      <c r="AK62" s="1462"/>
      <c r="AL62" s="1462"/>
      <c r="AM62" s="1462"/>
      <c r="AN62" s="1462"/>
      <c r="AO62" s="1462"/>
      <c r="AP62" s="1455"/>
    </row>
    <row r="63" spans="1:42" ht="15" customHeight="1">
      <c r="A63" s="1455"/>
      <c r="B63" s="1464"/>
      <c r="C63" s="1455"/>
      <c r="D63" s="1463"/>
      <c r="E63" s="1469"/>
      <c r="F63" s="1469"/>
      <c r="G63" s="2494" t="s">
        <v>1892</v>
      </c>
      <c r="H63" s="2495"/>
      <c r="I63" s="2495"/>
      <c r="J63" s="2495"/>
      <c r="K63" s="2495"/>
      <c r="L63" s="2495"/>
      <c r="M63" s="2495"/>
      <c r="N63" s="2495"/>
      <c r="O63" s="2495"/>
      <c r="P63" s="2495"/>
      <c r="Q63" s="2495"/>
      <c r="R63" s="2495"/>
      <c r="S63" s="2495"/>
      <c r="T63" s="2495"/>
      <c r="U63" s="2496"/>
      <c r="V63" s="2497">
        <f>SUM(V53:W61)</f>
        <v>924</v>
      </c>
      <c r="W63" s="2432"/>
      <c r="X63" s="2498"/>
      <c r="Y63" s="1469"/>
      <c r="Z63" s="1469"/>
      <c r="AA63" s="1469"/>
      <c r="AB63" s="1469"/>
      <c r="AC63" s="1469"/>
      <c r="AD63" s="1469"/>
      <c r="AE63" s="1469"/>
      <c r="AF63" s="1469"/>
      <c r="AG63" s="1469"/>
      <c r="AH63" s="1469"/>
      <c r="AI63" s="1469"/>
      <c r="AJ63" s="1469"/>
      <c r="AK63" s="1469"/>
      <c r="AL63" s="1469"/>
      <c r="AM63" s="1469"/>
      <c r="AN63" s="1469"/>
      <c r="AO63" s="1469"/>
      <c r="AP63" s="1455"/>
    </row>
    <row r="64" spans="1:42">
      <c r="A64" s="1455"/>
      <c r="B64" s="1464"/>
      <c r="C64" s="1455"/>
      <c r="D64" s="1462"/>
      <c r="E64" s="1462"/>
      <c r="F64" s="1462"/>
      <c r="G64" s="1462"/>
      <c r="H64" s="1462"/>
      <c r="I64" s="1462"/>
      <c r="J64" s="1462"/>
      <c r="K64" s="1462"/>
      <c r="L64" s="1462"/>
      <c r="M64" s="1462"/>
      <c r="N64" s="1462"/>
      <c r="O64" s="1462"/>
      <c r="P64" s="1462"/>
      <c r="Q64" s="1462"/>
      <c r="R64" s="1462"/>
      <c r="S64" s="1462"/>
      <c r="T64" s="1462"/>
      <c r="U64" s="1462"/>
      <c r="V64" s="1457"/>
      <c r="W64" s="1457"/>
      <c r="X64" s="1457"/>
      <c r="Y64" s="1462"/>
      <c r="Z64" s="1462"/>
      <c r="AA64" s="1462"/>
      <c r="AB64" s="1462"/>
      <c r="AC64" s="1462"/>
      <c r="AD64" s="1462"/>
      <c r="AE64" s="1462"/>
      <c r="AF64" s="1462"/>
      <c r="AG64" s="1462"/>
      <c r="AH64" s="1462"/>
      <c r="AI64" s="1462"/>
      <c r="AJ64" s="1462"/>
      <c r="AK64" s="1462"/>
      <c r="AL64" s="1462"/>
      <c r="AM64" s="1462"/>
      <c r="AN64" s="1462"/>
      <c r="AO64" s="1462"/>
      <c r="AP64" s="1455"/>
    </row>
    <row r="65" spans="1:42" ht="15" customHeight="1">
      <c r="A65" s="1455"/>
      <c r="B65" s="1464"/>
      <c r="C65" s="1455"/>
      <c r="D65" s="1463"/>
      <c r="E65" s="1469"/>
      <c r="F65" s="1469"/>
      <c r="G65" s="2494" t="s">
        <v>1893</v>
      </c>
      <c r="H65" s="2495"/>
      <c r="I65" s="2495"/>
      <c r="J65" s="2495"/>
      <c r="K65" s="2495"/>
      <c r="L65" s="2495"/>
      <c r="M65" s="2495"/>
      <c r="N65" s="2495"/>
      <c r="O65" s="2495"/>
      <c r="P65" s="2495"/>
      <c r="Q65" s="2495"/>
      <c r="R65" s="2495"/>
      <c r="S65" s="2495"/>
      <c r="T65" s="2495"/>
      <c r="U65" s="2496"/>
      <c r="V65" s="2497">
        <f>SUM(V53:W61)</f>
        <v>924</v>
      </c>
      <c r="W65" s="2432"/>
      <c r="X65" s="2498"/>
      <c r="Y65" s="1469"/>
      <c r="Z65" s="1469"/>
      <c r="AA65" s="1469"/>
      <c r="AB65" s="1469"/>
      <c r="AC65" s="1469"/>
      <c r="AD65" s="1469"/>
      <c r="AE65" s="1469"/>
      <c r="AF65" s="1469"/>
      <c r="AG65" s="1469"/>
      <c r="AH65" s="1469"/>
      <c r="AI65" s="1469"/>
      <c r="AJ65" s="1469"/>
      <c r="AK65" s="1469"/>
      <c r="AL65" s="1469"/>
      <c r="AM65" s="1469"/>
      <c r="AN65" s="1469"/>
      <c r="AO65" s="1469"/>
      <c r="AP65" s="1455"/>
    </row>
    <row r="66" spans="1:42">
      <c r="A66" s="1491"/>
      <c r="B66" s="768"/>
      <c r="C66" s="1491"/>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91"/>
    </row>
    <row r="67" spans="1:42">
      <c r="A67" s="1491"/>
      <c r="B67" s="768"/>
      <c r="C67" s="1491"/>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91"/>
    </row>
    <row r="68" spans="1:42">
      <c r="A68" s="1455"/>
      <c r="B68" s="1455"/>
      <c r="C68" s="1464" t="s">
        <v>2181</v>
      </c>
      <c r="D68" s="1455"/>
      <c r="E68" s="1455"/>
      <c r="F68" s="1455"/>
      <c r="G68" s="1455"/>
      <c r="H68" s="1455"/>
      <c r="I68" s="1455"/>
      <c r="J68" s="1455"/>
      <c r="K68" s="1455"/>
      <c r="L68" s="1455"/>
      <c r="M68" s="1455"/>
      <c r="N68" s="1455"/>
      <c r="O68" s="1455"/>
      <c r="P68" s="1455"/>
      <c r="Q68" s="1455"/>
      <c r="R68" s="1455"/>
      <c r="S68" s="1455"/>
      <c r="T68" s="1455"/>
      <c r="U68" s="1455"/>
      <c r="V68" s="1455"/>
      <c r="W68" s="1455"/>
      <c r="X68" s="1455"/>
      <c r="Y68" s="1455"/>
      <c r="Z68" s="1455"/>
      <c r="AA68" s="1455"/>
      <c r="AB68" s="1455"/>
      <c r="AC68" s="1455"/>
      <c r="AD68" s="1455"/>
      <c r="AE68" s="1455"/>
      <c r="AF68" s="1455"/>
      <c r="AG68" s="1455"/>
      <c r="AH68" s="1455"/>
      <c r="AI68" s="1455"/>
      <c r="AJ68" s="1455"/>
      <c r="AK68" s="1455"/>
      <c r="AL68" s="1455"/>
      <c r="AM68" s="1465"/>
      <c r="AN68" s="1465"/>
      <c r="AO68" s="1465"/>
      <c r="AP68" s="1455"/>
    </row>
    <row r="69" spans="1:42" ht="11.4" customHeight="1">
      <c r="A69" s="1455"/>
      <c r="B69" s="1455"/>
      <c r="C69" s="1461"/>
      <c r="D69" s="1519"/>
      <c r="E69" s="1461"/>
      <c r="F69" s="1519"/>
      <c r="G69" s="1519"/>
      <c r="H69" s="1519"/>
      <c r="I69" s="1519"/>
      <c r="J69" s="1519"/>
      <c r="K69" s="1519"/>
      <c r="L69" s="1455"/>
      <c r="M69" s="1455"/>
      <c r="N69" s="1455"/>
      <c r="O69" s="1455"/>
      <c r="P69" s="1455"/>
      <c r="Q69" s="1455"/>
      <c r="R69" s="1455"/>
      <c r="S69" s="1455"/>
      <c r="T69" s="1455"/>
      <c r="U69" s="1455"/>
      <c r="V69" s="1455"/>
      <c r="W69" s="1455"/>
      <c r="X69" s="1455"/>
      <c r="Y69" s="1455"/>
      <c r="Z69" s="1455"/>
      <c r="AA69" s="1455"/>
      <c r="AB69" s="1455"/>
      <c r="AC69" s="1455"/>
      <c r="AD69" s="1455"/>
      <c r="AE69" s="1455"/>
      <c r="AF69" s="1455"/>
      <c r="AG69" s="1455"/>
      <c r="AH69" s="1455"/>
      <c r="AI69" s="1455"/>
      <c r="AJ69" s="1455"/>
      <c r="AK69" s="1455"/>
      <c r="AL69" s="1455"/>
      <c r="AM69" s="1465"/>
      <c r="AN69" s="1465"/>
      <c r="AO69" s="1465"/>
      <c r="AP69" s="1455"/>
    </row>
    <row r="70" spans="1:42">
      <c r="A70" s="1455"/>
      <c r="B70" s="1455"/>
      <c r="C70" s="1461"/>
      <c r="D70" s="1519" t="s">
        <v>4358</v>
      </c>
      <c r="E70" s="1461"/>
      <c r="F70" s="1519"/>
      <c r="G70" s="1519"/>
      <c r="H70" s="1519"/>
      <c r="I70" s="1519"/>
      <c r="J70" s="1519"/>
      <c r="K70" s="1519"/>
      <c r="L70" s="1455"/>
      <c r="M70" s="1455"/>
      <c r="N70" s="1455"/>
      <c r="O70" s="1455"/>
      <c r="P70" s="1455"/>
      <c r="Q70" s="1455"/>
      <c r="R70" s="1455"/>
      <c r="S70" s="1455"/>
      <c r="T70" s="1455"/>
      <c r="U70" s="1455"/>
      <c r="V70" s="1455"/>
      <c r="W70" s="1455"/>
      <c r="X70" s="1455"/>
      <c r="Y70" s="1455"/>
      <c r="Z70" s="1455"/>
      <c r="AA70" s="1455"/>
      <c r="AB70" s="1455"/>
      <c r="AC70" s="1455"/>
      <c r="AD70" s="1455"/>
      <c r="AE70" s="1455"/>
      <c r="AF70" s="1455"/>
      <c r="AG70" s="1455"/>
      <c r="AH70" s="1455"/>
      <c r="AI70" s="1455"/>
      <c r="AJ70" s="1455"/>
      <c r="AK70" s="1455"/>
      <c r="AL70" s="1455"/>
      <c r="AM70" s="1465"/>
      <c r="AN70" s="1465"/>
      <c r="AO70" s="1465"/>
      <c r="AP70" s="1455"/>
    </row>
    <row r="71" spans="1:42" hidden="1">
      <c r="A71" s="1455"/>
      <c r="B71" s="1455"/>
      <c r="C71" s="1461"/>
      <c r="D71" s="1519"/>
      <c r="E71" s="1461"/>
      <c r="F71" s="1519"/>
      <c r="G71" s="1519"/>
      <c r="H71" s="1519"/>
      <c r="I71" s="1519"/>
      <c r="J71" s="1519"/>
      <c r="K71" s="1519"/>
      <c r="L71" s="1455"/>
      <c r="M71" s="1455"/>
      <c r="N71" s="1455"/>
      <c r="O71" s="1455"/>
      <c r="P71" s="1455"/>
      <c r="Q71" s="1455"/>
      <c r="R71" s="1455"/>
      <c r="S71" s="1455"/>
      <c r="T71" s="1455"/>
      <c r="U71" s="1455"/>
      <c r="V71" s="1455"/>
      <c r="W71" s="1455"/>
      <c r="X71" s="1455"/>
      <c r="Y71" s="1455"/>
      <c r="Z71" s="1455"/>
      <c r="AA71" s="1455"/>
      <c r="AB71" s="1455"/>
      <c r="AC71" s="1455"/>
      <c r="AD71" s="1455"/>
      <c r="AE71" s="1455"/>
      <c r="AF71" s="1455"/>
      <c r="AG71" s="1455"/>
      <c r="AH71" s="1455"/>
      <c r="AI71" s="1455"/>
      <c r="AJ71" s="1455"/>
      <c r="AK71" s="1455"/>
      <c r="AL71" s="1455"/>
      <c r="AM71" s="1465"/>
      <c r="AN71" s="1465"/>
      <c r="AO71" s="1465"/>
      <c r="AP71" s="1455"/>
    </row>
    <row r="72" spans="1:42" ht="15" hidden="1" customHeight="1">
      <c r="A72" s="1455"/>
      <c r="B72" s="1455"/>
      <c r="C72" s="1461"/>
      <c r="D72" s="2515" t="s">
        <v>3645</v>
      </c>
      <c r="E72" s="2518" t="s">
        <v>9</v>
      </c>
      <c r="F72" s="2519"/>
      <c r="G72" s="2519"/>
      <c r="H72" s="2519"/>
      <c r="I72" s="2519"/>
      <c r="J72" s="2519"/>
      <c r="K72" s="2519"/>
      <c r="L72" s="2519"/>
      <c r="M72" s="2519"/>
      <c r="N72" s="2519"/>
      <c r="O72" s="2519"/>
      <c r="P72" s="2519"/>
      <c r="Q72" s="2519"/>
      <c r="R72" s="2519"/>
      <c r="S72" s="2519"/>
      <c r="T72" s="2519"/>
      <c r="U72" s="2519"/>
      <c r="V72" s="2519"/>
      <c r="W72" s="2519"/>
      <c r="X72" s="2519"/>
      <c r="Y72" s="2519"/>
      <c r="Z72" s="2519"/>
      <c r="AA72" s="2519"/>
      <c r="AB72" s="2520"/>
      <c r="AC72" s="2518" t="s">
        <v>1894</v>
      </c>
      <c r="AD72" s="2520"/>
      <c r="AE72" s="2530"/>
      <c r="AF72" s="2518" t="s">
        <v>1895</v>
      </c>
      <c r="AG72" s="2519"/>
      <c r="AH72" s="2519"/>
      <c r="AI72" s="2519"/>
      <c r="AJ72" s="2519"/>
      <c r="AK72" s="2520"/>
      <c r="AL72" s="1520"/>
      <c r="AM72" s="1520"/>
      <c r="AN72" s="1520"/>
      <c r="AO72" s="1520"/>
      <c r="AP72" s="1455"/>
    </row>
    <row r="73" spans="1:42" hidden="1">
      <c r="A73" s="1455"/>
      <c r="B73" s="1455"/>
      <c r="C73" s="1461"/>
      <c r="D73" s="2516"/>
      <c r="E73" s="2521"/>
      <c r="F73" s="2522"/>
      <c r="G73" s="2522"/>
      <c r="H73" s="2522"/>
      <c r="I73" s="2522"/>
      <c r="J73" s="2522"/>
      <c r="K73" s="2522"/>
      <c r="L73" s="2522"/>
      <c r="M73" s="2522"/>
      <c r="N73" s="2522"/>
      <c r="O73" s="2522"/>
      <c r="P73" s="2522"/>
      <c r="Q73" s="2522"/>
      <c r="R73" s="2522"/>
      <c r="S73" s="2522"/>
      <c r="T73" s="2522"/>
      <c r="U73" s="2522"/>
      <c r="V73" s="2522"/>
      <c r="W73" s="2522"/>
      <c r="X73" s="2522"/>
      <c r="Y73" s="2522"/>
      <c r="Z73" s="2522"/>
      <c r="AA73" s="2522"/>
      <c r="AB73" s="2523"/>
      <c r="AC73" s="2521"/>
      <c r="AD73" s="2523"/>
      <c r="AE73" s="2530"/>
      <c r="AF73" s="2521"/>
      <c r="AG73" s="2522"/>
      <c r="AH73" s="2522"/>
      <c r="AI73" s="2522"/>
      <c r="AJ73" s="2522"/>
      <c r="AK73" s="2523"/>
      <c r="AL73" s="1521"/>
      <c r="AM73" s="1521"/>
      <c r="AN73" s="1521"/>
      <c r="AO73" s="1521"/>
      <c r="AP73" s="1455"/>
    </row>
    <row r="74" spans="1:42" hidden="1">
      <c r="A74" s="1455"/>
      <c r="B74" s="1455"/>
      <c r="C74" s="1461"/>
      <c r="D74" s="2516"/>
      <c r="E74" s="2521"/>
      <c r="F74" s="2522"/>
      <c r="G74" s="2522"/>
      <c r="H74" s="2522"/>
      <c r="I74" s="2522"/>
      <c r="J74" s="2522"/>
      <c r="K74" s="2522"/>
      <c r="L74" s="2522"/>
      <c r="M74" s="2522"/>
      <c r="N74" s="2522"/>
      <c r="O74" s="2522"/>
      <c r="P74" s="2522"/>
      <c r="Q74" s="2522"/>
      <c r="R74" s="2522"/>
      <c r="S74" s="2522"/>
      <c r="T74" s="2522"/>
      <c r="U74" s="2522"/>
      <c r="V74" s="2522"/>
      <c r="W74" s="2522"/>
      <c r="X74" s="2522"/>
      <c r="Y74" s="2522"/>
      <c r="Z74" s="2522"/>
      <c r="AA74" s="2522"/>
      <c r="AB74" s="2523"/>
      <c r="AC74" s="2521"/>
      <c r="AD74" s="2523"/>
      <c r="AE74" s="2530"/>
      <c r="AF74" s="2521"/>
      <c r="AG74" s="2522"/>
      <c r="AH74" s="2522"/>
      <c r="AI74" s="2522"/>
      <c r="AJ74" s="2522"/>
      <c r="AK74" s="2523"/>
      <c r="AL74" s="1521"/>
      <c r="AM74" s="1521"/>
      <c r="AN74" s="1521"/>
      <c r="AO74" s="1521"/>
      <c r="AP74" s="1455"/>
    </row>
    <row r="75" spans="1:42" hidden="1">
      <c r="A75" s="1455"/>
      <c r="B75" s="1455"/>
      <c r="C75" s="1461"/>
      <c r="D75" s="2517"/>
      <c r="E75" s="2524"/>
      <c r="F75" s="2525"/>
      <c r="G75" s="2525"/>
      <c r="H75" s="2525"/>
      <c r="I75" s="2525"/>
      <c r="J75" s="2525"/>
      <c r="K75" s="2525"/>
      <c r="L75" s="2525"/>
      <c r="M75" s="2525"/>
      <c r="N75" s="2525"/>
      <c r="O75" s="2525"/>
      <c r="P75" s="2525"/>
      <c r="Q75" s="2525"/>
      <c r="R75" s="2525"/>
      <c r="S75" s="2525"/>
      <c r="T75" s="2525"/>
      <c r="U75" s="2525"/>
      <c r="V75" s="2525"/>
      <c r="W75" s="2525"/>
      <c r="X75" s="2525"/>
      <c r="Y75" s="2525"/>
      <c r="Z75" s="2525"/>
      <c r="AA75" s="2525"/>
      <c r="AB75" s="2526"/>
      <c r="AC75" s="2524"/>
      <c r="AD75" s="2526"/>
      <c r="AE75" s="2530"/>
      <c r="AF75" s="2524"/>
      <c r="AG75" s="2525"/>
      <c r="AH75" s="2525"/>
      <c r="AI75" s="2525"/>
      <c r="AJ75" s="2525"/>
      <c r="AK75" s="2526"/>
      <c r="AL75" s="1521"/>
      <c r="AM75" s="1521"/>
      <c r="AN75" s="1521"/>
      <c r="AO75" s="1521"/>
      <c r="AP75" s="1455"/>
    </row>
    <row r="76" spans="1:42" hidden="1">
      <c r="A76" s="1455"/>
      <c r="B76" s="1455"/>
      <c r="C76" s="1461"/>
      <c r="D76" s="1522"/>
      <c r="E76" s="2531"/>
      <c r="F76" s="2532"/>
      <c r="G76" s="2532"/>
      <c r="H76" s="2532"/>
      <c r="I76" s="2532"/>
      <c r="J76" s="2532"/>
      <c r="K76" s="2532"/>
      <c r="L76" s="2532"/>
      <c r="M76" s="2532"/>
      <c r="N76" s="2532"/>
      <c r="O76" s="2532"/>
      <c r="P76" s="2532"/>
      <c r="Q76" s="2532"/>
      <c r="R76" s="2532"/>
      <c r="S76" s="2532"/>
      <c r="T76" s="2532"/>
      <c r="U76" s="2532"/>
      <c r="V76" s="2532"/>
      <c r="W76" s="2532"/>
      <c r="X76" s="2532"/>
      <c r="Y76" s="2532"/>
      <c r="Z76" s="2532"/>
      <c r="AA76" s="2532"/>
      <c r="AB76" s="2533"/>
      <c r="AC76" s="2534"/>
      <c r="AD76" s="2535"/>
      <c r="AE76" s="1523"/>
      <c r="AF76" s="1524"/>
      <c r="AG76" s="1525"/>
      <c r="AH76" s="1525"/>
      <c r="AI76" s="1525"/>
      <c r="AJ76" s="1525"/>
      <c r="AK76" s="1526"/>
      <c r="AL76" s="1527"/>
      <c r="AM76" s="1527"/>
      <c r="AN76" s="1527"/>
      <c r="AO76" s="1527"/>
      <c r="AP76" s="1455"/>
    </row>
    <row r="77" spans="1:42" hidden="1">
      <c r="A77" s="1455"/>
      <c r="B77" s="1455"/>
      <c r="C77" s="1461"/>
      <c r="D77" s="1522"/>
      <c r="E77" s="1528"/>
      <c r="F77" s="1529"/>
      <c r="G77" s="1529"/>
      <c r="H77" s="1529"/>
      <c r="I77" s="1529"/>
      <c r="J77" s="1529"/>
      <c r="K77" s="1529"/>
      <c r="L77" s="1529"/>
      <c r="M77" s="1529"/>
      <c r="N77" s="1529"/>
      <c r="O77" s="1529"/>
      <c r="P77" s="1529"/>
      <c r="Q77" s="1529"/>
      <c r="R77" s="1529"/>
      <c r="S77" s="1529"/>
      <c r="T77" s="1529"/>
      <c r="U77" s="1529"/>
      <c r="V77" s="1529"/>
      <c r="W77" s="1529"/>
      <c r="X77" s="1529"/>
      <c r="Y77" s="1529"/>
      <c r="Z77" s="1529"/>
      <c r="AA77" s="1529"/>
      <c r="AB77" s="1530"/>
      <c r="AC77" s="1493"/>
      <c r="AD77" s="1494"/>
      <c r="AE77" s="1523"/>
      <c r="AF77" s="1524"/>
      <c r="AG77" s="1525"/>
      <c r="AH77" s="1525"/>
      <c r="AI77" s="1525"/>
      <c r="AJ77" s="1525"/>
      <c r="AK77" s="1526"/>
      <c r="AL77" s="1527"/>
      <c r="AM77" s="1527"/>
      <c r="AN77" s="1527"/>
      <c r="AO77" s="1527"/>
      <c r="AP77" s="1455"/>
    </row>
    <row r="78" spans="1:42" hidden="1">
      <c r="A78" s="1455"/>
      <c r="B78" s="1455"/>
      <c r="C78" s="1461"/>
      <c r="D78" s="1522"/>
      <c r="E78" s="2531"/>
      <c r="F78" s="2532"/>
      <c r="G78" s="2532"/>
      <c r="H78" s="2532"/>
      <c r="I78" s="2532"/>
      <c r="J78" s="2532"/>
      <c r="K78" s="2532"/>
      <c r="L78" s="2532"/>
      <c r="M78" s="2532"/>
      <c r="N78" s="2532"/>
      <c r="O78" s="2532"/>
      <c r="P78" s="2532"/>
      <c r="Q78" s="2532"/>
      <c r="R78" s="2532"/>
      <c r="S78" s="2532"/>
      <c r="T78" s="2532"/>
      <c r="U78" s="2532"/>
      <c r="V78" s="2532"/>
      <c r="W78" s="2532"/>
      <c r="X78" s="2532"/>
      <c r="Y78" s="2532"/>
      <c r="Z78" s="2532"/>
      <c r="AA78" s="2532"/>
      <c r="AB78" s="2533"/>
      <c r="AC78" s="2534"/>
      <c r="AD78" s="2535"/>
      <c r="AE78" s="1523"/>
      <c r="AF78" s="1524"/>
      <c r="AG78" s="1525"/>
      <c r="AH78" s="1525"/>
      <c r="AI78" s="1525"/>
      <c r="AJ78" s="1525"/>
      <c r="AK78" s="1526"/>
      <c r="AL78" s="1527"/>
      <c r="AM78" s="1527"/>
      <c r="AN78" s="1527"/>
      <c r="AO78" s="1527"/>
      <c r="AP78" s="1455"/>
    </row>
    <row r="79" spans="1:42" hidden="1">
      <c r="A79" s="1455"/>
      <c r="B79" s="1455"/>
      <c r="C79" s="1461"/>
      <c r="D79" s="1531"/>
      <c r="E79" s="1532"/>
      <c r="F79" s="1531"/>
      <c r="G79" s="1533"/>
      <c r="H79" s="1533"/>
      <c r="I79" s="1533"/>
      <c r="J79" s="1533"/>
      <c r="K79" s="1533"/>
      <c r="L79" s="1533"/>
      <c r="M79" s="1533"/>
      <c r="N79" s="1533"/>
      <c r="O79" s="1533"/>
      <c r="P79" s="1533"/>
      <c r="Q79" s="1533"/>
      <c r="R79" s="1533"/>
      <c r="S79" s="1533"/>
      <c r="T79" s="1533"/>
      <c r="U79" s="1533"/>
      <c r="V79" s="1533"/>
      <c r="W79" s="1533"/>
      <c r="X79" s="1533"/>
      <c r="Y79" s="1533"/>
      <c r="Z79" s="1533"/>
      <c r="AA79" s="1533"/>
      <c r="AB79" s="1533"/>
      <c r="AC79" s="1399"/>
      <c r="AD79" s="1399"/>
      <c r="AE79" s="1400"/>
      <c r="AF79" s="1534"/>
      <c r="AG79" s="1534"/>
      <c r="AH79" s="1534"/>
      <c r="AI79" s="1534"/>
      <c r="AJ79" s="1534"/>
      <c r="AK79" s="1534"/>
      <c r="AL79" s="1527"/>
      <c r="AM79" s="1527"/>
      <c r="AN79" s="1527"/>
      <c r="AO79" s="1527"/>
      <c r="AP79" s="1455"/>
    </row>
    <row r="80" spans="1:42" hidden="1">
      <c r="A80" s="1455"/>
      <c r="B80" s="1455"/>
      <c r="C80" s="1456"/>
      <c r="D80" s="1535"/>
      <c r="E80" s="1527"/>
      <c r="F80" s="1527"/>
      <c r="G80" s="1527"/>
      <c r="H80" s="1527"/>
      <c r="I80" s="1527"/>
      <c r="J80" s="1527"/>
      <c r="K80" s="1527"/>
      <c r="L80" s="1527"/>
      <c r="M80" s="1527"/>
      <c r="N80" s="1527"/>
      <c r="O80" s="1527"/>
      <c r="P80" s="1527"/>
      <c r="Q80" s="1527"/>
      <c r="R80" s="1527"/>
      <c r="S80" s="1527"/>
      <c r="T80" s="1527"/>
      <c r="U80" s="1527"/>
      <c r="V80" s="1527"/>
      <c r="W80" s="1527"/>
      <c r="X80" s="1527"/>
      <c r="Y80" s="1527"/>
      <c r="Z80" s="1527"/>
      <c r="AA80" s="1527"/>
      <c r="AB80" s="1527"/>
      <c r="AC80" s="1460"/>
      <c r="AD80" s="1460"/>
      <c r="AE80" s="1460"/>
      <c r="AF80" s="1460"/>
      <c r="AG80" s="1460"/>
      <c r="AH80" s="1460"/>
      <c r="AI80" s="1460"/>
      <c r="AJ80" s="1460"/>
      <c r="AK80" s="1460"/>
      <c r="AL80" s="1459"/>
      <c r="AM80" s="1459"/>
      <c r="AN80" s="1459"/>
      <c r="AO80" s="1459"/>
      <c r="AP80" s="1536"/>
    </row>
    <row r="81" spans="1:44" hidden="1">
      <c r="A81" s="1455"/>
      <c r="B81" s="1455"/>
      <c r="C81" s="1456"/>
      <c r="D81" s="1535"/>
      <c r="E81" s="1527"/>
      <c r="F81" s="1527"/>
      <c r="G81" s="1527"/>
      <c r="H81" s="1527"/>
      <c r="I81" s="1527"/>
      <c r="J81" s="1527"/>
      <c r="K81" s="1527"/>
      <c r="L81" s="1527"/>
      <c r="M81" s="1527"/>
      <c r="N81" s="1527"/>
      <c r="O81" s="1527"/>
      <c r="P81" s="1527"/>
      <c r="Q81" s="1527"/>
      <c r="R81" s="1527"/>
      <c r="S81" s="1527"/>
      <c r="T81" s="1527"/>
      <c r="U81" s="1527"/>
      <c r="V81" s="1527"/>
      <c r="W81" s="1527"/>
      <c r="X81" s="1527"/>
      <c r="Y81" s="1527"/>
      <c r="Z81" s="1527"/>
      <c r="AA81" s="1527"/>
      <c r="AB81" s="1527"/>
      <c r="AC81" s="1460"/>
      <c r="AD81" s="1460"/>
      <c r="AE81" s="1460"/>
      <c r="AF81" s="1460"/>
      <c r="AG81" s="1460"/>
      <c r="AH81" s="1460"/>
      <c r="AI81" s="1460"/>
      <c r="AJ81" s="1460"/>
      <c r="AK81" s="1460"/>
      <c r="AL81" s="1459"/>
      <c r="AM81" s="1459"/>
      <c r="AN81" s="1459"/>
      <c r="AO81" s="1459"/>
      <c r="AP81" s="1536"/>
    </row>
    <row r="82" spans="1:44" hidden="1">
      <c r="A82" s="1455"/>
      <c r="B82" s="1455"/>
      <c r="C82" s="1456"/>
      <c r="D82" s="1536"/>
      <c r="E82" s="1536"/>
      <c r="F82" s="1536"/>
      <c r="G82" s="1536"/>
      <c r="H82" s="1536"/>
      <c r="I82" s="1536"/>
      <c r="J82" s="1536"/>
      <c r="K82" s="1536"/>
      <c r="L82" s="1536"/>
      <c r="M82" s="1536"/>
      <c r="N82" s="1536"/>
      <c r="O82" s="1536"/>
      <c r="P82" s="1537"/>
      <c r="Q82" s="1537"/>
      <c r="R82" s="1537"/>
      <c r="S82" s="1537"/>
      <c r="T82" s="1537"/>
      <c r="U82" s="1537"/>
      <c r="V82" s="1537"/>
      <c r="W82" s="1537"/>
      <c r="X82" s="1537"/>
      <c r="Y82" s="1537"/>
      <c r="Z82" s="1537"/>
      <c r="AA82" s="1537"/>
      <c r="AB82" s="1537"/>
      <c r="AC82" s="1537"/>
      <c r="AD82" s="1537"/>
      <c r="AE82" s="1537"/>
      <c r="AF82" s="1537"/>
      <c r="AG82" s="1537"/>
      <c r="AH82" s="1537"/>
      <c r="AI82" s="1537"/>
      <c r="AJ82" s="1537"/>
      <c r="AK82" s="1537"/>
      <c r="AL82" s="1537"/>
      <c r="AM82" s="1537"/>
      <c r="AN82" s="1537"/>
      <c r="AO82" s="1537"/>
      <c r="AP82" s="1536"/>
    </row>
    <row r="83" spans="1:44">
      <c r="A83" s="1455"/>
      <c r="B83" s="1455"/>
      <c r="C83" s="1456"/>
      <c r="D83" s="1536"/>
      <c r="E83" s="1536"/>
      <c r="F83" s="1536"/>
      <c r="G83" s="1536"/>
      <c r="H83" s="1536"/>
      <c r="I83" s="1536"/>
      <c r="J83" s="1536"/>
      <c r="K83" s="1536"/>
      <c r="L83" s="1536"/>
      <c r="M83" s="1536"/>
      <c r="N83" s="1536"/>
      <c r="O83" s="1536"/>
      <c r="P83" s="1537"/>
      <c r="Q83" s="1537"/>
      <c r="R83" s="1537"/>
      <c r="S83" s="1537"/>
      <c r="T83" s="1537"/>
      <c r="U83" s="1537"/>
      <c r="V83" s="1537"/>
      <c r="W83" s="1537"/>
      <c r="X83" s="1537"/>
      <c r="Y83" s="1537"/>
      <c r="Z83" s="1537"/>
      <c r="AA83" s="1537"/>
      <c r="AB83" s="1537"/>
      <c r="AC83" s="1537"/>
      <c r="AD83" s="1537"/>
      <c r="AE83" s="1537"/>
      <c r="AF83" s="1537"/>
      <c r="AG83" s="1537"/>
      <c r="AH83" s="1537"/>
      <c r="AI83" s="1537"/>
      <c r="AJ83" s="1537"/>
      <c r="AK83" s="1537"/>
      <c r="AL83" s="1537"/>
      <c r="AM83" s="1537"/>
      <c r="AN83" s="1537"/>
      <c r="AO83" s="1537"/>
      <c r="AP83" s="1536"/>
    </row>
    <row r="84" spans="1:44">
      <c r="A84" s="1491"/>
      <c r="B84" s="1491"/>
      <c r="C84" s="768" t="s">
        <v>4336</v>
      </c>
      <c r="D84" s="1491"/>
      <c r="E84" s="1491"/>
      <c r="F84" s="1491"/>
      <c r="G84" s="1491"/>
      <c r="H84" s="1491"/>
      <c r="I84" s="1491"/>
      <c r="J84" s="1491"/>
      <c r="K84" s="1491"/>
      <c r="L84" s="1491"/>
      <c r="M84" s="1491"/>
      <c r="N84" s="1491"/>
      <c r="O84" s="1491"/>
      <c r="P84" s="1491"/>
      <c r="Q84" s="1491"/>
      <c r="R84" s="1491"/>
      <c r="S84" s="1491"/>
      <c r="T84" s="779"/>
      <c r="U84" s="1348"/>
      <c r="V84" s="1348"/>
      <c r="W84" s="1348"/>
      <c r="X84" s="1348"/>
      <c r="Y84" s="780"/>
      <c r="Z84" s="780"/>
      <c r="AA84" s="780"/>
      <c r="AB84" s="780"/>
      <c r="AC84" s="780"/>
      <c r="AD84" s="780"/>
      <c r="AE84" s="780"/>
      <c r="AF84" s="780"/>
      <c r="AG84" s="780"/>
      <c r="AH84" s="780"/>
      <c r="AI84" s="780"/>
      <c r="AJ84" s="780"/>
      <c r="AK84" s="780"/>
      <c r="AL84" s="1348"/>
      <c r="AM84" s="1348"/>
      <c r="AN84" s="1348"/>
      <c r="AO84" s="1348"/>
      <c r="AP84" s="1491"/>
    </row>
    <row r="85" spans="1:44" ht="15" thickBot="1">
      <c r="A85" s="1491"/>
      <c r="B85" s="1491"/>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91"/>
    </row>
    <row r="86" spans="1:44" ht="15" customHeight="1">
      <c r="A86" s="1491"/>
      <c r="B86" s="1491"/>
      <c r="C86" s="2551" t="s">
        <v>1896</v>
      </c>
      <c r="D86" s="2552"/>
      <c r="E86" s="2552"/>
      <c r="F86" s="2553"/>
      <c r="G86" s="2557" t="s">
        <v>1897</v>
      </c>
      <c r="H86" s="2558"/>
      <c r="I86" s="2558"/>
      <c r="J86" s="2558"/>
      <c r="K86" s="2559"/>
      <c r="L86" s="2563" t="s">
        <v>1898</v>
      </c>
      <c r="M86" s="2564"/>
      <c r="N86" s="2564"/>
      <c r="O86" s="2564"/>
      <c r="P86" s="2564"/>
      <c r="Q86" s="2564"/>
      <c r="R86" s="2565"/>
      <c r="S86" s="2563" t="s">
        <v>1899</v>
      </c>
      <c r="T86" s="2564"/>
      <c r="U86" s="2564"/>
      <c r="V86" s="2564"/>
      <c r="W86" s="2564"/>
      <c r="X86" s="2564"/>
      <c r="Y86" s="2564"/>
      <c r="Z86" s="2565"/>
      <c r="AA86" s="2563" t="s">
        <v>1900</v>
      </c>
      <c r="AB86" s="2564"/>
      <c r="AC86" s="2564"/>
      <c r="AD86" s="2564"/>
      <c r="AE86" s="2564"/>
      <c r="AF86" s="2564"/>
      <c r="AG86" s="2564"/>
      <c r="AH86" s="2565"/>
      <c r="AI86" s="2563" t="s">
        <v>1901</v>
      </c>
      <c r="AJ86" s="2564"/>
      <c r="AK86" s="2564"/>
      <c r="AL86" s="2564"/>
      <c r="AM86" s="2564"/>
      <c r="AN86" s="2564"/>
      <c r="AO86" s="2566"/>
      <c r="AP86" s="1491"/>
    </row>
    <row r="87" spans="1:44" ht="15" thickBot="1">
      <c r="A87" s="1491"/>
      <c r="B87" s="1491"/>
      <c r="C87" s="2554"/>
      <c r="D87" s="2555"/>
      <c r="E87" s="2555"/>
      <c r="F87" s="2556"/>
      <c r="G87" s="2560"/>
      <c r="H87" s="2561"/>
      <c r="I87" s="2561"/>
      <c r="J87" s="2561"/>
      <c r="K87" s="2562"/>
      <c r="L87" s="2536" t="s">
        <v>1</v>
      </c>
      <c r="M87" s="2537"/>
      <c r="N87" s="2537"/>
      <c r="O87" s="2537"/>
      <c r="P87" s="2538"/>
      <c r="Q87" s="2536" t="s">
        <v>0</v>
      </c>
      <c r="R87" s="2538"/>
      <c r="S87" s="2536" t="s">
        <v>1</v>
      </c>
      <c r="T87" s="2537"/>
      <c r="U87" s="2537"/>
      <c r="V87" s="2537"/>
      <c r="W87" s="2537"/>
      <c r="X87" s="2538"/>
      <c r="Y87" s="2536" t="s">
        <v>0</v>
      </c>
      <c r="Z87" s="2538"/>
      <c r="AA87" s="2536" t="s">
        <v>1</v>
      </c>
      <c r="AB87" s="2537"/>
      <c r="AC87" s="2537"/>
      <c r="AD87" s="2537"/>
      <c r="AE87" s="2537"/>
      <c r="AF87" s="2538"/>
      <c r="AG87" s="2536" t="s">
        <v>0</v>
      </c>
      <c r="AH87" s="2538"/>
      <c r="AI87" s="2536" t="s">
        <v>1</v>
      </c>
      <c r="AJ87" s="2537"/>
      <c r="AK87" s="2537"/>
      <c r="AL87" s="2537"/>
      <c r="AM87" s="2538"/>
      <c r="AN87" s="2536" t="s">
        <v>0</v>
      </c>
      <c r="AO87" s="2539"/>
      <c r="AP87" s="1491"/>
    </row>
    <row r="88" spans="1:44" ht="15" hidden="1" thickBot="1">
      <c r="A88" s="1491"/>
      <c r="B88" s="1491"/>
      <c r="C88" s="2540" t="s">
        <v>1902</v>
      </c>
      <c r="D88" s="2541"/>
      <c r="E88" s="2541"/>
      <c r="F88" s="2542"/>
      <c r="G88" s="2543">
        <f>+'[28]VAL. PRINC'!G840</f>
        <v>15398736.547100004</v>
      </c>
      <c r="H88" s="2544"/>
      <c r="I88" s="2544"/>
      <c r="J88" s="2544"/>
      <c r="K88" s="2545"/>
      <c r="L88" s="2546" t="e">
        <f>+L90</f>
        <v>#REF!</v>
      </c>
      <c r="M88" s="2547"/>
      <c r="N88" s="2547"/>
      <c r="O88" s="2547"/>
      <c r="P88" s="2548"/>
      <c r="Q88" s="2549" t="e">
        <f>+L88/G88</f>
        <v>#REF!</v>
      </c>
      <c r="R88" s="2550"/>
      <c r="S88" s="2546" t="e">
        <f>+S90</f>
        <v>#REF!</v>
      </c>
      <c r="T88" s="2547"/>
      <c r="U88" s="2547"/>
      <c r="V88" s="2547"/>
      <c r="W88" s="2547"/>
      <c r="X88" s="2548"/>
      <c r="Y88" s="2549" t="e">
        <f>S88/G88</f>
        <v>#REF!</v>
      </c>
      <c r="Z88" s="2550"/>
      <c r="AA88" s="2546" t="e">
        <f>L88+S88</f>
        <v>#REF!</v>
      </c>
      <c r="AB88" s="2547"/>
      <c r="AC88" s="2547"/>
      <c r="AD88" s="2547"/>
      <c r="AE88" s="2547"/>
      <c r="AF88" s="2548"/>
      <c r="AG88" s="2549" t="e">
        <f>+AA88/G88</f>
        <v>#REF!</v>
      </c>
      <c r="AH88" s="2550"/>
      <c r="AI88" s="2567" t="e">
        <f>G88-AA88</f>
        <v>#REF!</v>
      </c>
      <c r="AJ88" s="2568"/>
      <c r="AK88" s="2568"/>
      <c r="AL88" s="2568"/>
      <c r="AM88" s="2569"/>
      <c r="AN88" s="2570">
        <v>0</v>
      </c>
      <c r="AO88" s="2571"/>
      <c r="AP88" s="1491"/>
      <c r="AQ88" s="1538">
        <v>1</v>
      </c>
    </row>
    <row r="89" spans="1:44" ht="20.399999999999999" customHeight="1">
      <c r="A89" s="1491"/>
      <c r="B89" s="1491"/>
      <c r="C89" s="2583" t="s">
        <v>3706</v>
      </c>
      <c r="D89" s="2584"/>
      <c r="E89" s="2584"/>
      <c r="F89" s="2585"/>
      <c r="G89" s="2586" t="e">
        <f>+G90+G91</f>
        <v>#REF!</v>
      </c>
      <c r="H89" s="2587"/>
      <c r="I89" s="2587"/>
      <c r="J89" s="2587"/>
      <c r="K89" s="2588"/>
      <c r="L89" s="2589" t="e">
        <f>+L90+L91</f>
        <v>#REF!</v>
      </c>
      <c r="M89" s="2587"/>
      <c r="N89" s="2587"/>
      <c r="O89" s="2587"/>
      <c r="P89" s="2588"/>
      <c r="Q89" s="2572" t="e">
        <f>+L89/G89</f>
        <v>#REF!</v>
      </c>
      <c r="R89" s="2590"/>
      <c r="S89" s="2589" t="e">
        <f>+S90+S91</f>
        <v>#REF!</v>
      </c>
      <c r="T89" s="2587"/>
      <c r="U89" s="2587"/>
      <c r="V89" s="2587"/>
      <c r="W89" s="2587"/>
      <c r="X89" s="2588"/>
      <c r="Y89" s="2572" t="e">
        <f>S89/G89</f>
        <v>#REF!</v>
      </c>
      <c r="Z89" s="2590"/>
      <c r="AA89" s="2589" t="e">
        <f>L89+S89</f>
        <v>#REF!</v>
      </c>
      <c r="AB89" s="2587"/>
      <c r="AC89" s="2587"/>
      <c r="AD89" s="2587"/>
      <c r="AE89" s="2587"/>
      <c r="AF89" s="2588"/>
      <c r="AG89" s="2572" t="e">
        <f>+AA89/G89</f>
        <v>#REF!</v>
      </c>
      <c r="AH89" s="2590"/>
      <c r="AI89" s="2589" t="e">
        <f>G89-AA89</f>
        <v>#REF!</v>
      </c>
      <c r="AJ89" s="2587"/>
      <c r="AK89" s="2587"/>
      <c r="AL89" s="2587"/>
      <c r="AM89" s="2588"/>
      <c r="AN89" s="2572">
        <v>0</v>
      </c>
      <c r="AO89" s="2573"/>
      <c r="AP89" s="1491"/>
      <c r="AQ89" s="1538"/>
    </row>
    <row r="90" spans="1:44" s="1540" customFormat="1" ht="30" customHeight="1">
      <c r="A90" s="1145"/>
      <c r="B90" s="1145"/>
      <c r="C90" s="2574" t="s">
        <v>3707</v>
      </c>
      <c r="D90" s="2575"/>
      <c r="E90" s="2575"/>
      <c r="F90" s="2576"/>
      <c r="G90" s="2577" t="e">
        <f>+'RESUMEN GENERAL'!C13</f>
        <v>#REF!</v>
      </c>
      <c r="H90" s="2578"/>
      <c r="I90" s="2578"/>
      <c r="J90" s="2578"/>
      <c r="K90" s="2579"/>
      <c r="L90" s="2577" t="e">
        <f>+'RESUMEN GENERAL'!D13</f>
        <v>#REF!</v>
      </c>
      <c r="M90" s="2578"/>
      <c r="N90" s="2578"/>
      <c r="O90" s="2578"/>
      <c r="P90" s="2579"/>
      <c r="Q90" s="2580" t="e">
        <f>+L90/G90</f>
        <v>#REF!</v>
      </c>
      <c r="R90" s="2581"/>
      <c r="S90" s="2577" t="e">
        <f>+'RESUMEN GENERAL'!F13</f>
        <v>#REF!</v>
      </c>
      <c r="T90" s="2578"/>
      <c r="U90" s="2578"/>
      <c r="V90" s="2578"/>
      <c r="W90" s="2578"/>
      <c r="X90" s="2579"/>
      <c r="Y90" s="2580" t="e">
        <f>S90/G90</f>
        <v>#REF!</v>
      </c>
      <c r="Z90" s="2581"/>
      <c r="AA90" s="2577" t="e">
        <f>+'RESUMEN GENERAL'!H13</f>
        <v>#REF!</v>
      </c>
      <c r="AB90" s="2578"/>
      <c r="AC90" s="2578"/>
      <c r="AD90" s="2578"/>
      <c r="AE90" s="2578"/>
      <c r="AF90" s="2579"/>
      <c r="AG90" s="2580" t="e">
        <f>+AA90/G90</f>
        <v>#REF!</v>
      </c>
      <c r="AH90" s="2581"/>
      <c r="AI90" s="2577" t="e">
        <f>G90-AA90</f>
        <v>#REF!</v>
      </c>
      <c r="AJ90" s="2578"/>
      <c r="AK90" s="2578"/>
      <c r="AL90" s="2578"/>
      <c r="AM90" s="2578"/>
      <c r="AN90" s="2580" t="e">
        <f>+AQ88-AG90</f>
        <v>#REF!</v>
      </c>
      <c r="AO90" s="2582"/>
      <c r="AP90" s="1145"/>
      <c r="AQ90" s="1539" t="e">
        <f>#REF!+#REF!</f>
        <v>#REF!</v>
      </c>
      <c r="AR90" s="1540">
        <v>2652104.96717944</v>
      </c>
    </row>
    <row r="91" spans="1:44" ht="30" customHeight="1">
      <c r="A91" s="1287"/>
      <c r="B91" s="1287"/>
      <c r="C91" s="2609" t="s">
        <v>3700</v>
      </c>
      <c r="D91" s="2610"/>
      <c r="E91" s="2610"/>
      <c r="F91" s="2611"/>
      <c r="G91" s="2612">
        <f>+G92+G93+G94+G95+G96</f>
        <v>4845416.3800000008</v>
      </c>
      <c r="H91" s="2613"/>
      <c r="I91" s="2613"/>
      <c r="J91" s="2613"/>
      <c r="K91" s="2614"/>
      <c r="L91" s="2577">
        <f>SUM(L92:O96)</f>
        <v>3126915.7644617003</v>
      </c>
      <c r="M91" s="2578"/>
      <c r="N91" s="2578"/>
      <c r="O91" s="2578"/>
      <c r="P91" s="2579"/>
      <c r="Q91" s="2615">
        <f>+L91/G91</f>
        <v>0.64533479049775688</v>
      </c>
      <c r="R91" s="2616"/>
      <c r="S91" s="2577">
        <f>SUM(S92:W96)</f>
        <v>286878.44796800002</v>
      </c>
      <c r="T91" s="2578"/>
      <c r="U91" s="2578"/>
      <c r="V91" s="2578"/>
      <c r="W91" s="2578"/>
      <c r="X91" s="2579"/>
      <c r="Y91" s="2615">
        <f t="shared" ref="Y91:Y100" si="0">+S91/G91</f>
        <v>5.9206149785624815E-2</v>
      </c>
      <c r="Z91" s="2616"/>
      <c r="AA91" s="2577">
        <f>SUM(L91,S91)</f>
        <v>3413794.2124297004</v>
      </c>
      <c r="AB91" s="2578"/>
      <c r="AC91" s="2578"/>
      <c r="AD91" s="2578"/>
      <c r="AE91" s="2578"/>
      <c r="AF91" s="2579"/>
      <c r="AG91" s="2580">
        <f>+AA91/G91</f>
        <v>0.70454094028338177</v>
      </c>
      <c r="AH91" s="2581"/>
      <c r="AI91" s="2577">
        <f>+G91-AA91</f>
        <v>1431622.1675703004</v>
      </c>
      <c r="AJ91" s="2578"/>
      <c r="AK91" s="2578"/>
      <c r="AL91" s="2578"/>
      <c r="AM91" s="2578"/>
      <c r="AN91" s="2591">
        <f>+AI91/G91</f>
        <v>0.29545905971661823</v>
      </c>
      <c r="AO91" s="2592"/>
      <c r="AP91" s="1287"/>
      <c r="AQ91" s="1466">
        <v>361586.55821093335</v>
      </c>
      <c r="AR91" s="1466">
        <v>2652104.9671794381</v>
      </c>
    </row>
    <row r="92" spans="1:44" ht="30" customHeight="1">
      <c r="A92" s="1287"/>
      <c r="B92" s="1287"/>
      <c r="C92" s="2593" t="s">
        <v>3681</v>
      </c>
      <c r="D92" s="2594"/>
      <c r="E92" s="2594"/>
      <c r="F92" s="2595"/>
      <c r="G92" s="2596">
        <f>+'RESUMEN GENERAL'!C23</f>
        <v>165006.5</v>
      </c>
      <c r="H92" s="2597"/>
      <c r="I92" s="2597"/>
      <c r="J92" s="2597"/>
      <c r="K92" s="2598"/>
      <c r="L92" s="2599">
        <f>+'RESUMEN GENERAL'!D23</f>
        <v>165006.5</v>
      </c>
      <c r="M92" s="2597"/>
      <c r="N92" s="2597"/>
      <c r="O92" s="2597"/>
      <c r="P92" s="2598"/>
      <c r="Q92" s="2600">
        <f>L92/G92</f>
        <v>1</v>
      </c>
      <c r="R92" s="2601"/>
      <c r="S92" s="2599">
        <f>+'RESUMEN GENERAL'!F23</f>
        <v>0</v>
      </c>
      <c r="T92" s="2597"/>
      <c r="U92" s="2597"/>
      <c r="V92" s="2597"/>
      <c r="W92" s="2597"/>
      <c r="X92" s="2598"/>
      <c r="Y92" s="2602">
        <f t="shared" si="0"/>
        <v>0</v>
      </c>
      <c r="Z92" s="2603"/>
      <c r="AA92" s="2599">
        <f>SUM(L92,S92:X92)</f>
        <v>165006.5</v>
      </c>
      <c r="AB92" s="2597"/>
      <c r="AC92" s="2597"/>
      <c r="AD92" s="2597"/>
      <c r="AE92" s="2597"/>
      <c r="AF92" s="2598"/>
      <c r="AG92" s="2604">
        <f t="shared" ref="AG92:AG97" si="1">AA92/G92</f>
        <v>1</v>
      </c>
      <c r="AH92" s="2605"/>
      <c r="AI92" s="2606">
        <f>G92-AA92</f>
        <v>0</v>
      </c>
      <c r="AJ92" s="2607"/>
      <c r="AK92" s="2607"/>
      <c r="AL92" s="2607"/>
      <c r="AM92" s="2607"/>
      <c r="AN92" s="2604">
        <v>0</v>
      </c>
      <c r="AO92" s="2608"/>
      <c r="AP92" s="1287"/>
    </row>
    <row r="93" spans="1:44" s="1541" customFormat="1" ht="30" customHeight="1">
      <c r="A93" s="1476"/>
      <c r="B93" s="1476"/>
      <c r="C93" s="2593" t="s">
        <v>3682</v>
      </c>
      <c r="D93" s="2594"/>
      <c r="E93" s="2594"/>
      <c r="F93" s="2595"/>
      <c r="G93" s="2596">
        <f>+'RESUMEN GENERAL'!C26</f>
        <v>587707.12</v>
      </c>
      <c r="H93" s="2597"/>
      <c r="I93" s="2597"/>
      <c r="J93" s="2597"/>
      <c r="K93" s="2598"/>
      <c r="L93" s="2599">
        <f>+'RESUMEN GENERAL'!D26</f>
        <v>552702.85560000001</v>
      </c>
      <c r="M93" s="2597"/>
      <c r="N93" s="2597"/>
      <c r="O93" s="2597"/>
      <c r="P93" s="2598"/>
      <c r="Q93" s="2600">
        <f>L93/G93</f>
        <v>0.94043927117983528</v>
      </c>
      <c r="R93" s="2601"/>
      <c r="S93" s="2599">
        <f>+'RESUMEN GENERAL'!F26</f>
        <v>0</v>
      </c>
      <c r="T93" s="2597"/>
      <c r="U93" s="2597"/>
      <c r="V93" s="2597"/>
      <c r="W93" s="2597"/>
      <c r="X93" s="2598"/>
      <c r="Y93" s="2600">
        <f t="shared" si="0"/>
        <v>0</v>
      </c>
      <c r="Z93" s="2601"/>
      <c r="AA93" s="2599">
        <f>SUM(L93,S93:X93)</f>
        <v>552702.85560000001</v>
      </c>
      <c r="AB93" s="2597"/>
      <c r="AC93" s="2597"/>
      <c r="AD93" s="2597"/>
      <c r="AE93" s="2597"/>
      <c r="AF93" s="2598"/>
      <c r="AG93" s="2600">
        <f t="shared" si="1"/>
        <v>0.94043927117983528</v>
      </c>
      <c r="AH93" s="2601"/>
      <c r="AI93" s="2599">
        <f>G93-AA93</f>
        <v>35004.264399999985</v>
      </c>
      <c r="AJ93" s="2597"/>
      <c r="AK93" s="2597"/>
      <c r="AL93" s="2597"/>
      <c r="AM93" s="2597"/>
      <c r="AN93" s="2600">
        <f t="shared" ref="AN93:AN100" si="2">+AI93/G93</f>
        <v>5.9560728820164686E-2</v>
      </c>
      <c r="AO93" s="2617"/>
      <c r="AP93" s="1476"/>
    </row>
    <row r="94" spans="1:44" s="1541" customFormat="1" ht="30" customHeight="1">
      <c r="A94" s="1476"/>
      <c r="B94" s="1476"/>
      <c r="C94" s="2593" t="s">
        <v>3698</v>
      </c>
      <c r="D94" s="2594"/>
      <c r="E94" s="2594"/>
      <c r="F94" s="2595"/>
      <c r="G94" s="2596">
        <f>+'RESUMEN GENERAL'!C31</f>
        <v>3433797.0500000007</v>
      </c>
      <c r="H94" s="2597"/>
      <c r="I94" s="2597"/>
      <c r="J94" s="2597"/>
      <c r="K94" s="2598"/>
      <c r="L94" s="2599">
        <f>+'RESUMEN GENERAL'!D31</f>
        <v>1930434.2961172003</v>
      </c>
      <c r="M94" s="2597"/>
      <c r="N94" s="2597"/>
      <c r="O94" s="2597"/>
      <c r="P94" s="2598"/>
      <c r="Q94" s="2600">
        <f t="shared" ref="Q94:Q96" si="3">L94/G94</f>
        <v>0.56218648569145924</v>
      </c>
      <c r="R94" s="2601"/>
      <c r="S94" s="2599">
        <f>+'RESUMEN GENERAL'!F31</f>
        <v>87330.904018000045</v>
      </c>
      <c r="T94" s="2597"/>
      <c r="U94" s="2597"/>
      <c r="V94" s="2597"/>
      <c r="W94" s="2597"/>
      <c r="X94" s="2598"/>
      <c r="Y94" s="2600">
        <f t="shared" si="0"/>
        <v>2.543275060999893E-2</v>
      </c>
      <c r="Z94" s="2601"/>
      <c r="AA94" s="2599">
        <f>SUM(L94,S94:X94)</f>
        <v>2017765.2001352003</v>
      </c>
      <c r="AB94" s="2597"/>
      <c r="AC94" s="2597"/>
      <c r="AD94" s="2597"/>
      <c r="AE94" s="2597"/>
      <c r="AF94" s="2598"/>
      <c r="AG94" s="2600">
        <f t="shared" si="1"/>
        <v>0.58761923630145818</v>
      </c>
      <c r="AH94" s="2601"/>
      <c r="AI94" s="2599">
        <f>G94-AA94</f>
        <v>1416031.8498648005</v>
      </c>
      <c r="AJ94" s="2597"/>
      <c r="AK94" s="2597"/>
      <c r="AL94" s="2597"/>
      <c r="AM94" s="2597"/>
      <c r="AN94" s="2600">
        <f t="shared" si="2"/>
        <v>0.41238076369854187</v>
      </c>
      <c r="AO94" s="2617"/>
      <c r="AP94" s="1476"/>
    </row>
    <row r="95" spans="1:44" ht="30" customHeight="1">
      <c r="A95" s="1287"/>
      <c r="B95" s="1287"/>
      <c r="C95" s="2593" t="s">
        <v>3699</v>
      </c>
      <c r="D95" s="2594"/>
      <c r="E95" s="2594"/>
      <c r="F95" s="2595"/>
      <c r="G95" s="2596">
        <f>+'RESUMEN GENERAL'!C36</f>
        <v>2917415.5299999993</v>
      </c>
      <c r="H95" s="2597"/>
      <c r="I95" s="2597"/>
      <c r="J95" s="2597"/>
      <c r="K95" s="2598"/>
      <c r="L95" s="2599">
        <f>+'RESUMEN GENERAL'!D36</f>
        <v>478772.11274450005</v>
      </c>
      <c r="M95" s="2597"/>
      <c r="N95" s="2597"/>
      <c r="O95" s="2597"/>
      <c r="P95" s="2598"/>
      <c r="Q95" s="2600">
        <f t="shared" si="3"/>
        <v>0.16410830333260759</v>
      </c>
      <c r="R95" s="2601"/>
      <c r="S95" s="2599">
        <f>+'RESUMEN GENERAL'!F36</f>
        <v>199547.54394999996</v>
      </c>
      <c r="T95" s="2597"/>
      <c r="U95" s="2597"/>
      <c r="V95" s="2597"/>
      <c r="W95" s="2597"/>
      <c r="X95" s="2598"/>
      <c r="Y95" s="2600">
        <f t="shared" si="0"/>
        <v>6.8398739191602234E-2</v>
      </c>
      <c r="Z95" s="2601"/>
      <c r="AA95" s="2599">
        <f>SUM(L95,S95:X95)</f>
        <v>678319.65669450001</v>
      </c>
      <c r="AB95" s="2597"/>
      <c r="AC95" s="2597"/>
      <c r="AD95" s="2597"/>
      <c r="AE95" s="2597"/>
      <c r="AF95" s="2598"/>
      <c r="AG95" s="2600">
        <f t="shared" si="1"/>
        <v>0.23250704252420984</v>
      </c>
      <c r="AH95" s="2601"/>
      <c r="AI95" s="2618">
        <f>G95-AA95</f>
        <v>2239095.8733054996</v>
      </c>
      <c r="AJ95" s="2619"/>
      <c r="AK95" s="2619"/>
      <c r="AL95" s="2619"/>
      <c r="AM95" s="2619"/>
      <c r="AN95" s="2604">
        <f t="shared" si="2"/>
        <v>0.76749295747579027</v>
      </c>
      <c r="AO95" s="2608"/>
      <c r="AP95" s="1287"/>
      <c r="AQ95" s="1466">
        <v>56971.901400000002</v>
      </c>
    </row>
    <row r="96" spans="1:44" ht="30" customHeight="1">
      <c r="A96" s="1287"/>
      <c r="B96" s="1287"/>
      <c r="C96" s="2593" t="s">
        <v>3705</v>
      </c>
      <c r="D96" s="2594"/>
      <c r="E96" s="2594"/>
      <c r="F96" s="2595"/>
      <c r="G96" s="2596">
        <f>+'RESUMEN GENERAL'!C39</f>
        <v>-2258509.8199999998</v>
      </c>
      <c r="H96" s="2597"/>
      <c r="I96" s="2597"/>
      <c r="J96" s="2597"/>
      <c r="K96" s="2598"/>
      <c r="L96" s="2599">
        <v>0</v>
      </c>
      <c r="M96" s="2597"/>
      <c r="N96" s="2597"/>
      <c r="O96" s="2597"/>
      <c r="P96" s="2598"/>
      <c r="Q96" s="2600">
        <f t="shared" si="3"/>
        <v>0</v>
      </c>
      <c r="R96" s="2601"/>
      <c r="S96" s="2599">
        <v>0</v>
      </c>
      <c r="T96" s="2597"/>
      <c r="U96" s="2597"/>
      <c r="V96" s="2597"/>
      <c r="W96" s="2597"/>
      <c r="X96" s="2598"/>
      <c r="Y96" s="2600">
        <f t="shared" si="0"/>
        <v>0</v>
      </c>
      <c r="Z96" s="2601"/>
      <c r="AA96" s="2599">
        <f>SUM(L96,S96:X96)</f>
        <v>0</v>
      </c>
      <c r="AB96" s="2597"/>
      <c r="AC96" s="2597"/>
      <c r="AD96" s="2597"/>
      <c r="AE96" s="2597"/>
      <c r="AF96" s="2598"/>
      <c r="AG96" s="2600">
        <f t="shared" si="1"/>
        <v>0</v>
      </c>
      <c r="AH96" s="2601"/>
      <c r="AI96" s="2618">
        <f>G96-AA96</f>
        <v>-2258509.8199999998</v>
      </c>
      <c r="AJ96" s="2619"/>
      <c r="AK96" s="2619"/>
      <c r="AL96" s="2619"/>
      <c r="AM96" s="2619"/>
      <c r="AN96" s="2604">
        <f t="shared" si="2"/>
        <v>1</v>
      </c>
      <c r="AO96" s="2608"/>
      <c r="AP96" s="1287"/>
      <c r="AQ96" s="1466">
        <v>0</v>
      </c>
    </row>
    <row r="97" spans="1:48" s="1540" customFormat="1" ht="30" customHeight="1">
      <c r="A97" s="1454"/>
      <c r="B97" s="1454"/>
      <c r="C97" s="2623" t="s">
        <v>3694</v>
      </c>
      <c r="D97" s="2624"/>
      <c r="E97" s="2624"/>
      <c r="F97" s="2625"/>
      <c r="G97" s="2626" t="e">
        <f>SUM(G98:K102)</f>
        <v>#REF!</v>
      </c>
      <c r="H97" s="2627"/>
      <c r="I97" s="2627"/>
      <c r="J97" s="2627"/>
      <c r="K97" s="2627"/>
      <c r="L97" s="2626" t="e">
        <f>SUM(L98:P102)</f>
        <v>#REF!</v>
      </c>
      <c r="M97" s="2627"/>
      <c r="N97" s="2627"/>
      <c r="O97" s="2627"/>
      <c r="P97" s="2627"/>
      <c r="Q97" s="2628" t="e">
        <f>L97/G97</f>
        <v>#REF!</v>
      </c>
      <c r="R97" s="2629"/>
      <c r="S97" s="2630">
        <f>SUM(S98:X102)</f>
        <v>26333.290438103177</v>
      </c>
      <c r="T97" s="2627"/>
      <c r="U97" s="2627"/>
      <c r="V97" s="2627"/>
      <c r="W97" s="2627"/>
      <c r="X97" s="2631"/>
      <c r="Y97" s="2628" t="e">
        <f t="shared" si="0"/>
        <v>#REF!</v>
      </c>
      <c r="Z97" s="2629"/>
      <c r="AA97" s="2630" t="e">
        <f>SUM(AA98:AF102)</f>
        <v>#REF!</v>
      </c>
      <c r="AB97" s="2627"/>
      <c r="AC97" s="2627"/>
      <c r="AD97" s="2627"/>
      <c r="AE97" s="2627"/>
      <c r="AF97" s="2631"/>
      <c r="AG97" s="2620" t="e">
        <f t="shared" si="1"/>
        <v>#REF!</v>
      </c>
      <c r="AH97" s="2632"/>
      <c r="AI97" s="2630" t="e">
        <f>SUM(AI98:AM102)</f>
        <v>#REF!</v>
      </c>
      <c r="AJ97" s="2627"/>
      <c r="AK97" s="2627"/>
      <c r="AL97" s="2627"/>
      <c r="AM97" s="2631"/>
      <c r="AN97" s="2620" t="e">
        <f t="shared" si="2"/>
        <v>#REF!</v>
      </c>
      <c r="AO97" s="2621"/>
      <c r="AP97" s="1552" t="e">
        <f>+AA97/AA89</f>
        <v>#REF!</v>
      </c>
      <c r="AQ97" s="1539" t="e">
        <f>AA99+AA100+AA101+AA102+L98</f>
        <v>#REF!</v>
      </c>
    </row>
    <row r="98" spans="1:48" ht="30" customHeight="1">
      <c r="A98" s="1287"/>
      <c r="B98" s="1287"/>
      <c r="C98" s="2593" t="s">
        <v>3691</v>
      </c>
      <c r="D98" s="2594"/>
      <c r="E98" s="2594"/>
      <c r="F98" s="2595"/>
      <c r="G98" s="2596" t="e">
        <f>+'VAL. PRINC'!#REF!</f>
        <v>#REF!</v>
      </c>
      <c r="H98" s="2597"/>
      <c r="I98" s="2597"/>
      <c r="J98" s="2597"/>
      <c r="K98" s="2598"/>
      <c r="L98" s="2599" t="e">
        <f>+'VAL. PRINC'!#REF!</f>
        <v>#REF!</v>
      </c>
      <c r="M98" s="2597"/>
      <c r="N98" s="2597"/>
      <c r="O98" s="2597"/>
      <c r="P98" s="2598"/>
      <c r="Q98" s="2602" t="e">
        <f>+L98/G98</f>
        <v>#REF!</v>
      </c>
      <c r="R98" s="2603"/>
      <c r="S98" s="2599">
        <v>14496.2</v>
      </c>
      <c r="T98" s="2597"/>
      <c r="U98" s="2597"/>
      <c r="V98" s="2597"/>
      <c r="W98" s="2597"/>
      <c r="X98" s="1401"/>
      <c r="Y98" s="2602" t="e">
        <f t="shared" si="0"/>
        <v>#REF!</v>
      </c>
      <c r="Z98" s="2603"/>
      <c r="AA98" s="2618" t="e">
        <f>L98+S98</f>
        <v>#REF!</v>
      </c>
      <c r="AB98" s="2619"/>
      <c r="AC98" s="2619"/>
      <c r="AD98" s="2619"/>
      <c r="AE98" s="2619"/>
      <c r="AF98" s="2622"/>
      <c r="AG98" s="2604" t="e">
        <f>+AA98/G98</f>
        <v>#REF!</v>
      </c>
      <c r="AH98" s="2605"/>
      <c r="AI98" s="2618" t="e">
        <f>G98-AA98</f>
        <v>#REF!</v>
      </c>
      <c r="AJ98" s="2619"/>
      <c r="AK98" s="2619"/>
      <c r="AL98" s="2619"/>
      <c r="AM98" s="2619"/>
      <c r="AN98" s="2604" t="e">
        <f t="shared" si="2"/>
        <v>#REF!</v>
      </c>
      <c r="AO98" s="2608"/>
      <c r="AP98" s="2195"/>
      <c r="AQ98" s="1547" t="e">
        <f>SUM(AA98:AF102)</f>
        <v>#REF!</v>
      </c>
    </row>
    <row r="99" spans="1:48" ht="30" customHeight="1">
      <c r="A99" s="1491"/>
      <c r="B99" s="1491"/>
      <c r="C99" s="2633" t="s">
        <v>3692</v>
      </c>
      <c r="D99" s="2634"/>
      <c r="E99" s="2634"/>
      <c r="F99" s="2635"/>
      <c r="G99" s="2596">
        <f>+'VAL. AMP.2 COVID'!I38</f>
        <v>100529.56</v>
      </c>
      <c r="H99" s="2597"/>
      <c r="I99" s="2597"/>
      <c r="J99" s="2597"/>
      <c r="K99" s="2598"/>
      <c r="L99" s="2599">
        <f>+'VAL. AMP.2 COVID'!K38</f>
        <v>100529.56</v>
      </c>
      <c r="M99" s="2597"/>
      <c r="N99" s="2597"/>
      <c r="O99" s="2597"/>
      <c r="P99" s="2598"/>
      <c r="Q99" s="2602">
        <f t="shared" ref="Q99:Q100" si="4">+L99/G99</f>
        <v>1</v>
      </c>
      <c r="R99" s="2603"/>
      <c r="S99" s="2599">
        <v>0</v>
      </c>
      <c r="T99" s="2597"/>
      <c r="U99" s="2597"/>
      <c r="V99" s="2597"/>
      <c r="W99" s="2597"/>
      <c r="X99" s="1471"/>
      <c r="Y99" s="2602">
        <f t="shared" si="0"/>
        <v>0</v>
      </c>
      <c r="Z99" s="2603"/>
      <c r="AA99" s="2599">
        <f t="shared" ref="AA99:AA100" si="5">L99+S99</f>
        <v>100529.56</v>
      </c>
      <c r="AB99" s="2597"/>
      <c r="AC99" s="2597"/>
      <c r="AD99" s="2597"/>
      <c r="AE99" s="2597"/>
      <c r="AF99" s="2598"/>
      <c r="AG99" s="2600">
        <f t="shared" ref="AG99:AG100" si="6">+AA99/G99</f>
        <v>1</v>
      </c>
      <c r="AH99" s="2601"/>
      <c r="AI99" s="2618">
        <f t="shared" ref="AI99:AI100" si="7">G99-AA99</f>
        <v>0</v>
      </c>
      <c r="AJ99" s="2619"/>
      <c r="AK99" s="2619"/>
      <c r="AL99" s="2619"/>
      <c r="AM99" s="2619"/>
      <c r="AN99" s="2604">
        <f t="shared" si="2"/>
        <v>0</v>
      </c>
      <c r="AO99" s="2608"/>
      <c r="AP99" s="1491"/>
      <c r="AQ99" s="1547" t="e">
        <f>SUM(L98:O102)</f>
        <v>#REF!</v>
      </c>
    </row>
    <row r="100" spans="1:48" ht="30" customHeight="1">
      <c r="A100" s="1287"/>
      <c r="B100" s="1287"/>
      <c r="C100" s="2593" t="s">
        <v>3693</v>
      </c>
      <c r="D100" s="2594"/>
      <c r="E100" s="2594"/>
      <c r="F100" s="2595"/>
      <c r="G100" s="2596">
        <f>+'VAL AMP 3'!I61</f>
        <v>45201.65</v>
      </c>
      <c r="H100" s="2597"/>
      <c r="I100" s="2597"/>
      <c r="J100" s="2597"/>
      <c r="K100" s="2598"/>
      <c r="L100" s="2599">
        <f>+'VAL AMP 3'!K61</f>
        <v>42509.406013007363</v>
      </c>
      <c r="M100" s="2597"/>
      <c r="N100" s="2597"/>
      <c r="O100" s="2597"/>
      <c r="P100" s="2598"/>
      <c r="Q100" s="2602">
        <f t="shared" si="4"/>
        <v>0.94043925416455731</v>
      </c>
      <c r="R100" s="2603"/>
      <c r="S100" s="2599">
        <f>+'VAL AMP 3'!M61</f>
        <v>0</v>
      </c>
      <c r="T100" s="2597"/>
      <c r="U100" s="2597"/>
      <c r="V100" s="2597"/>
      <c r="W100" s="2597"/>
      <c r="X100" s="1471"/>
      <c r="Y100" s="2602">
        <f t="shared" si="0"/>
        <v>0</v>
      </c>
      <c r="Z100" s="2603"/>
      <c r="AA100" s="2599">
        <f t="shared" si="5"/>
        <v>42509.406013007363</v>
      </c>
      <c r="AB100" s="2597"/>
      <c r="AC100" s="2597"/>
      <c r="AD100" s="2597"/>
      <c r="AE100" s="2597"/>
      <c r="AF100" s="2598"/>
      <c r="AG100" s="2600">
        <f t="shared" si="6"/>
        <v>0.94043925416455731</v>
      </c>
      <c r="AH100" s="2601"/>
      <c r="AI100" s="2618">
        <f t="shared" si="7"/>
        <v>2692.2439869926384</v>
      </c>
      <c r="AJ100" s="2619"/>
      <c r="AK100" s="2619"/>
      <c r="AL100" s="2619"/>
      <c r="AM100" s="2619"/>
      <c r="AN100" s="2604">
        <f t="shared" si="2"/>
        <v>5.9560745835442692E-2</v>
      </c>
      <c r="AO100" s="2608"/>
      <c r="AP100" s="1287"/>
    </row>
    <row r="101" spans="1:48" ht="30" customHeight="1">
      <c r="A101" s="1287"/>
      <c r="B101" s="1287"/>
      <c r="C101" s="2593" t="s">
        <v>3698</v>
      </c>
      <c r="D101" s="2594"/>
      <c r="E101" s="2594"/>
      <c r="F101" s="2595"/>
      <c r="G101" s="2596">
        <f>+'VAL AMP4 MM'!I259</f>
        <v>141516.06656581606</v>
      </c>
      <c r="H101" s="2597"/>
      <c r="I101" s="2597"/>
      <c r="J101" s="2597"/>
      <c r="K101" s="2598"/>
      <c r="L101" s="2599">
        <f>+'VAL AMP4 MM'!K259</f>
        <v>76566.339453643493</v>
      </c>
      <c r="M101" s="2597"/>
      <c r="N101" s="2597"/>
      <c r="O101" s="2597"/>
      <c r="P101" s="2598"/>
      <c r="Q101" s="2600">
        <f t="shared" ref="Q101:Q102" si="8">L101/G101</f>
        <v>0.54104343988415016</v>
      </c>
      <c r="R101" s="2601"/>
      <c r="S101" s="2599">
        <f>+'VAL AMP4 MM'!M259</f>
        <v>3647.7255754961943</v>
      </c>
      <c r="T101" s="2597"/>
      <c r="U101" s="2597"/>
      <c r="V101" s="2597"/>
      <c r="W101" s="2597"/>
      <c r="X101" s="2314"/>
      <c r="Y101" s="2602">
        <f>+S101/G101</f>
        <v>2.5776052599651052E-2</v>
      </c>
      <c r="Z101" s="2603"/>
      <c r="AA101" s="2599">
        <f>L101+S101+0.01</f>
        <v>80214.075029139683</v>
      </c>
      <c r="AB101" s="2597"/>
      <c r="AC101" s="2597"/>
      <c r="AD101" s="2597"/>
      <c r="AE101" s="2597"/>
      <c r="AF101" s="2598"/>
      <c r="AG101" s="2600">
        <f>+AA101/G101</f>
        <v>0.56681956314715587</v>
      </c>
      <c r="AH101" s="2601"/>
      <c r="AI101" s="2599">
        <f>G101-AA101</f>
        <v>61301.991536676374</v>
      </c>
      <c r="AJ101" s="2597"/>
      <c r="AK101" s="2597"/>
      <c r="AL101" s="2597"/>
      <c r="AM101" s="2597"/>
      <c r="AN101" s="2600">
        <f>+AI101/G101</f>
        <v>0.43318043685284419</v>
      </c>
      <c r="AO101" s="2617"/>
      <c r="AP101" s="1477"/>
      <c r="AQ101" s="1542"/>
      <c r="AR101" s="1542"/>
      <c r="AS101" s="1542"/>
      <c r="AT101" s="1542"/>
      <c r="AU101" s="1542"/>
      <c r="AV101" s="1542"/>
    </row>
    <row r="102" spans="1:48" ht="30" customHeight="1" thickBot="1">
      <c r="A102" s="1287"/>
      <c r="B102" s="1287"/>
      <c r="C102" s="2636" t="s">
        <v>3701</v>
      </c>
      <c r="D102" s="2637"/>
      <c r="E102" s="2637"/>
      <c r="F102" s="2638"/>
      <c r="G102" s="2639">
        <f>+'VAL AMP 4 PN'!I192</f>
        <v>119729.76343418393</v>
      </c>
      <c r="H102" s="2640"/>
      <c r="I102" s="2640"/>
      <c r="J102" s="2640"/>
      <c r="K102" s="2641"/>
      <c r="L102" s="2642">
        <f>+'VAL AMP 4 PN'!K192</f>
        <v>16227.719360701567</v>
      </c>
      <c r="M102" s="2640"/>
      <c r="N102" s="2640"/>
      <c r="O102" s="2640"/>
      <c r="P102" s="2641"/>
      <c r="Q102" s="2643">
        <f t="shared" si="8"/>
        <v>0.13553621835745153</v>
      </c>
      <c r="R102" s="2644"/>
      <c r="S102" s="2438">
        <f>+'VAL AMP 4 PN'!M192</f>
        <v>8189.3648626069808</v>
      </c>
      <c r="T102" s="2439"/>
      <c r="U102" s="2439"/>
      <c r="V102" s="2439"/>
      <c r="W102" s="2439"/>
      <c r="X102" s="2313"/>
      <c r="Y102" s="2645">
        <f>+S102/G102</f>
        <v>6.8398739191602234E-2</v>
      </c>
      <c r="Z102" s="2646"/>
      <c r="AA102" s="2660">
        <f>L102+S102</f>
        <v>24417.08422330855</v>
      </c>
      <c r="AB102" s="2661"/>
      <c r="AC102" s="2661"/>
      <c r="AD102" s="2661"/>
      <c r="AE102" s="2661"/>
      <c r="AF102" s="2662"/>
      <c r="AG102" s="2663">
        <f>+AA102/G102</f>
        <v>0.20393495754905377</v>
      </c>
      <c r="AH102" s="2664"/>
      <c r="AI102" s="2660">
        <f>G102-AA102</f>
        <v>95312.679210875387</v>
      </c>
      <c r="AJ102" s="2661"/>
      <c r="AK102" s="2661"/>
      <c r="AL102" s="2661"/>
      <c r="AM102" s="2661"/>
      <c r="AN102" s="2663">
        <f>+AI102/G102</f>
        <v>0.79606504245094634</v>
      </c>
      <c r="AO102" s="2665"/>
      <c r="AP102" s="1287"/>
    </row>
    <row r="103" spans="1:48" s="1540" customFormat="1" ht="30" customHeight="1" thickBot="1">
      <c r="A103" s="1454"/>
      <c r="B103" s="1454"/>
      <c r="C103" s="2666" t="s">
        <v>3695</v>
      </c>
      <c r="D103" s="2667"/>
      <c r="E103" s="2667"/>
      <c r="F103" s="2668"/>
      <c r="G103" s="2669" t="e">
        <f>+G90+G97+G91</f>
        <v>#REF!</v>
      </c>
      <c r="H103" s="2648"/>
      <c r="I103" s="2648"/>
      <c r="J103" s="2648"/>
      <c r="K103" s="2649"/>
      <c r="L103" s="2669" t="e">
        <f>+L90+L97+L91</f>
        <v>#REF!</v>
      </c>
      <c r="M103" s="2648"/>
      <c r="N103" s="2648"/>
      <c r="O103" s="2648"/>
      <c r="P103" s="2649"/>
      <c r="Q103" s="2650" t="e">
        <f>L103/G103</f>
        <v>#REF!</v>
      </c>
      <c r="R103" s="2651"/>
      <c r="S103" s="2669" t="e">
        <f>+S97+S91+S90</f>
        <v>#REF!</v>
      </c>
      <c r="T103" s="2648"/>
      <c r="U103" s="2648"/>
      <c r="V103" s="2648"/>
      <c r="W103" s="2648"/>
      <c r="X103" s="2649"/>
      <c r="Y103" s="2670" t="e">
        <f t="shared" ref="Y103" si="9">+S103/G103</f>
        <v>#REF!</v>
      </c>
      <c r="Z103" s="2671"/>
      <c r="AA103" s="2647" t="e">
        <f>+AA97+AA91+AA90</f>
        <v>#REF!</v>
      </c>
      <c r="AB103" s="2648"/>
      <c r="AC103" s="2648"/>
      <c r="AD103" s="2648"/>
      <c r="AE103" s="2648"/>
      <c r="AF103" s="2649"/>
      <c r="AG103" s="2650" t="e">
        <f>AA103/G103</f>
        <v>#REF!</v>
      </c>
      <c r="AH103" s="2651"/>
      <c r="AI103" s="2652" t="e">
        <f>G103-AA103</f>
        <v>#REF!</v>
      </c>
      <c r="AJ103" s="2653"/>
      <c r="AK103" s="2653"/>
      <c r="AL103" s="2653"/>
      <c r="AM103" s="2654"/>
      <c r="AN103" s="2650" t="e">
        <f>+AI103/G103</f>
        <v>#REF!</v>
      </c>
      <c r="AO103" s="2655"/>
      <c r="AP103" s="1454"/>
      <c r="AQ103" s="1540">
        <v>40020.929100000001</v>
      </c>
    </row>
    <row r="104" spans="1:48">
      <c r="A104" s="1491"/>
      <c r="B104" s="1491"/>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656"/>
      <c r="Z104" s="2656"/>
      <c r="AA104" s="778"/>
      <c r="AB104" s="778"/>
      <c r="AC104" s="778"/>
      <c r="AD104" s="778"/>
      <c r="AE104" s="778"/>
      <c r="AF104" s="778"/>
      <c r="AG104" s="778"/>
      <c r="AH104" s="778"/>
      <c r="AI104" s="778"/>
      <c r="AJ104" s="778"/>
      <c r="AK104" s="778"/>
      <c r="AL104" s="778"/>
      <c r="AM104" s="778"/>
      <c r="AN104" s="778"/>
      <c r="AO104" s="778"/>
      <c r="AP104" s="1491"/>
    </row>
    <row r="105" spans="1:48" ht="15" thickBot="1">
      <c r="A105" s="1491"/>
      <c r="B105" s="1491"/>
      <c r="C105" s="2657" t="s">
        <v>3634</v>
      </c>
      <c r="D105" s="2658"/>
      <c r="E105" s="2658"/>
      <c r="F105" s="2658"/>
      <c r="G105" s="2658"/>
      <c r="H105" s="2658"/>
      <c r="I105" s="2658"/>
      <c r="J105" s="2658"/>
      <c r="K105" s="2658"/>
      <c r="L105" s="2658"/>
      <c r="M105" s="2658"/>
      <c r="N105" s="2658"/>
      <c r="O105" s="2658"/>
      <c r="P105" s="2658"/>
      <c r="Q105" s="2658"/>
      <c r="R105" s="2658"/>
      <c r="S105" s="2658"/>
      <c r="T105" s="2658"/>
      <c r="U105" s="2658"/>
      <c r="V105" s="2658"/>
      <c r="W105" s="2658"/>
      <c r="X105" s="2658"/>
      <c r="Y105" s="2658"/>
      <c r="Z105" s="2658"/>
      <c r="AA105" s="2658"/>
      <c r="AB105" s="2658"/>
      <c r="AC105" s="2658"/>
      <c r="AD105" s="2658"/>
      <c r="AE105" s="2658"/>
      <c r="AF105" s="2658"/>
      <c r="AG105" s="2658"/>
      <c r="AH105" s="2658"/>
      <c r="AI105" s="2658"/>
      <c r="AJ105" s="2658"/>
      <c r="AK105" s="2658"/>
      <c r="AL105" s="2658"/>
      <c r="AM105" s="2658"/>
      <c r="AN105" s="2658"/>
      <c r="AO105" s="2659"/>
      <c r="AP105" s="1491"/>
    </row>
    <row r="106" spans="1:48" ht="15" customHeight="1">
      <c r="A106" s="1491"/>
      <c r="B106" s="1491"/>
      <c r="C106" s="2551" t="s">
        <v>1904</v>
      </c>
      <c r="D106" s="2552"/>
      <c r="E106" s="2552"/>
      <c r="F106" s="2553"/>
      <c r="G106" s="2557" t="s">
        <v>1905</v>
      </c>
      <c r="H106" s="2558"/>
      <c r="I106" s="2558"/>
      <c r="J106" s="2558"/>
      <c r="K106" s="2559"/>
      <c r="L106" s="2563" t="s">
        <v>1898</v>
      </c>
      <c r="M106" s="2564"/>
      <c r="N106" s="2564"/>
      <c r="O106" s="2564"/>
      <c r="P106" s="2564"/>
      <c r="Q106" s="2564"/>
      <c r="R106" s="2565"/>
      <c r="S106" s="2563" t="s">
        <v>1899</v>
      </c>
      <c r="T106" s="2564"/>
      <c r="U106" s="2564"/>
      <c r="V106" s="2564"/>
      <c r="W106" s="2564"/>
      <c r="X106" s="2564"/>
      <c r="Y106" s="2564"/>
      <c r="Z106" s="2565"/>
      <c r="AA106" s="2563" t="s">
        <v>1900</v>
      </c>
      <c r="AB106" s="2564"/>
      <c r="AC106" s="2564"/>
      <c r="AD106" s="2564"/>
      <c r="AE106" s="2564"/>
      <c r="AF106" s="2564"/>
      <c r="AG106" s="2564"/>
      <c r="AH106" s="2565"/>
      <c r="AI106" s="2563" t="s">
        <v>1901</v>
      </c>
      <c r="AJ106" s="2564"/>
      <c r="AK106" s="2564"/>
      <c r="AL106" s="2564"/>
      <c r="AM106" s="2564"/>
      <c r="AN106" s="2564"/>
      <c r="AO106" s="2566"/>
      <c r="AP106" s="1491"/>
    </row>
    <row r="107" spans="1:48" ht="15" thickBot="1">
      <c r="A107" s="1491"/>
      <c r="B107" s="1491"/>
      <c r="C107" s="2554"/>
      <c r="D107" s="2555"/>
      <c r="E107" s="2555"/>
      <c r="F107" s="2556"/>
      <c r="G107" s="2560"/>
      <c r="H107" s="2561"/>
      <c r="I107" s="2561"/>
      <c r="J107" s="2561"/>
      <c r="K107" s="2562"/>
      <c r="L107" s="2536" t="s">
        <v>1</v>
      </c>
      <c r="M107" s="2537"/>
      <c r="N107" s="2537"/>
      <c r="O107" s="2537"/>
      <c r="P107" s="2538"/>
      <c r="Q107" s="2536" t="s">
        <v>0</v>
      </c>
      <c r="R107" s="2538"/>
      <c r="S107" s="2536" t="s">
        <v>1</v>
      </c>
      <c r="T107" s="2537"/>
      <c r="U107" s="2537"/>
      <c r="V107" s="2537"/>
      <c r="W107" s="2537"/>
      <c r="X107" s="2538"/>
      <c r="Y107" s="2536" t="s">
        <v>0</v>
      </c>
      <c r="Z107" s="2538"/>
      <c r="AA107" s="2536" t="s">
        <v>1</v>
      </c>
      <c r="AB107" s="2537"/>
      <c r="AC107" s="2537"/>
      <c r="AD107" s="2537"/>
      <c r="AE107" s="2537"/>
      <c r="AF107" s="2538"/>
      <c r="AG107" s="2536" t="s">
        <v>0</v>
      </c>
      <c r="AH107" s="2538"/>
      <c r="AI107" s="2536" t="s">
        <v>1</v>
      </c>
      <c r="AJ107" s="2537"/>
      <c r="AK107" s="2537"/>
      <c r="AL107" s="2537"/>
      <c r="AM107" s="2538"/>
      <c r="AN107" s="2536" t="s">
        <v>0</v>
      </c>
      <c r="AO107" s="2539"/>
      <c r="AP107" s="1491"/>
    </row>
    <row r="108" spans="1:48">
      <c r="A108" s="1287"/>
      <c r="B108" s="1287"/>
      <c r="C108" s="2681" t="s">
        <v>1903</v>
      </c>
      <c r="D108" s="2682"/>
      <c r="E108" s="2682"/>
      <c r="F108" s="2683"/>
      <c r="G108" s="2687">
        <f>+'[29]F6 OCTUBRE'!$F$61</f>
        <v>6590155.6500000004</v>
      </c>
      <c r="H108" s="2688"/>
      <c r="I108" s="2688"/>
      <c r="J108" s="2688"/>
      <c r="K108" s="2689"/>
      <c r="L108" s="2690">
        <f>+G108</f>
        <v>6590155.6500000004</v>
      </c>
      <c r="M108" s="2691"/>
      <c r="N108" s="2691"/>
      <c r="O108" s="2691"/>
      <c r="P108" s="2692"/>
      <c r="Q108" s="2693">
        <f>L108/G108</f>
        <v>1</v>
      </c>
      <c r="R108" s="2694"/>
      <c r="S108" s="2240"/>
      <c r="T108" s="2240"/>
      <c r="U108" s="2240"/>
      <c r="V108" s="2240">
        <v>0</v>
      </c>
      <c r="W108" s="2240"/>
      <c r="X108" s="2240"/>
      <c r="Y108" s="2693">
        <f>S108/G108</f>
        <v>0</v>
      </c>
      <c r="Z108" s="2694"/>
      <c r="AA108" s="2672">
        <f>SUM(L108,S108)</f>
        <v>6590155.6500000004</v>
      </c>
      <c r="AB108" s="2673"/>
      <c r="AC108" s="2673"/>
      <c r="AD108" s="2673"/>
      <c r="AE108" s="2673"/>
      <c r="AF108" s="2674"/>
      <c r="AG108" s="2675">
        <f>AA108/G108</f>
        <v>1</v>
      </c>
      <c r="AH108" s="2676"/>
      <c r="AI108" s="2677">
        <f>G108-AA108</f>
        <v>0</v>
      </c>
      <c r="AJ108" s="2678"/>
      <c r="AK108" s="2678"/>
      <c r="AL108" s="2678"/>
      <c r="AM108" s="2679"/>
      <c r="AN108" s="2675">
        <f>AI108/G108</f>
        <v>0</v>
      </c>
      <c r="AO108" s="2680"/>
      <c r="AP108" s="1287"/>
    </row>
    <row r="109" spans="1:48">
      <c r="A109" s="1287"/>
      <c r="B109" s="1287"/>
      <c r="C109" s="2681"/>
      <c r="D109" s="2682"/>
      <c r="E109" s="2682"/>
      <c r="F109" s="2683"/>
      <c r="G109" s="2684"/>
      <c r="H109" s="2685"/>
      <c r="I109" s="2685"/>
      <c r="J109" s="2685"/>
      <c r="K109" s="2686"/>
      <c r="L109" s="1501"/>
      <c r="M109" s="1502"/>
      <c r="N109" s="1502"/>
      <c r="O109" s="1402"/>
      <c r="P109" s="1503"/>
      <c r="Q109" s="1488"/>
      <c r="R109" s="1489"/>
      <c r="S109" s="1495"/>
      <c r="T109" s="1496"/>
      <c r="U109" s="1496"/>
      <c r="V109" s="1496"/>
      <c r="W109" s="1496"/>
      <c r="X109" s="1497"/>
      <c r="Y109" s="1488"/>
      <c r="Z109" s="1489"/>
      <c r="AA109" s="1495"/>
      <c r="AB109" s="1496"/>
      <c r="AC109" s="1496"/>
      <c r="AD109" s="1496"/>
      <c r="AE109" s="1496"/>
      <c r="AF109" s="1497"/>
      <c r="AG109" s="1498"/>
      <c r="AH109" s="1499"/>
      <c r="AI109" s="1504"/>
      <c r="AJ109" s="1505"/>
      <c r="AK109" s="1505"/>
      <c r="AL109" s="1505"/>
      <c r="AM109" s="1506"/>
      <c r="AN109" s="1498"/>
      <c r="AO109" s="1500"/>
      <c r="AP109" s="1287"/>
    </row>
    <row r="110" spans="1:48">
      <c r="A110" s="1287"/>
      <c r="B110" s="1287"/>
      <c r="C110" s="2681"/>
      <c r="D110" s="2682"/>
      <c r="E110" s="2682"/>
      <c r="F110" s="2683"/>
      <c r="G110" s="2687"/>
      <c r="H110" s="2688"/>
      <c r="I110" s="2688"/>
      <c r="J110" s="2688"/>
      <c r="K110" s="2689"/>
      <c r="L110" s="2690"/>
      <c r="M110" s="2691"/>
      <c r="N110" s="2691"/>
      <c r="O110" s="2691"/>
      <c r="P110" s="2692"/>
      <c r="Q110" s="2693"/>
      <c r="R110" s="2694"/>
      <c r="S110" s="2672"/>
      <c r="T110" s="2673"/>
      <c r="U110" s="2673"/>
      <c r="V110" s="2673"/>
      <c r="W110" s="2673"/>
      <c r="X110" s="2674"/>
      <c r="Y110" s="2693"/>
      <c r="Z110" s="2694"/>
      <c r="AA110" s="2690"/>
      <c r="AB110" s="2691"/>
      <c r="AC110" s="2691"/>
      <c r="AD110" s="2691"/>
      <c r="AE110" s="2691"/>
      <c r="AF110" s="2692"/>
      <c r="AG110" s="2693"/>
      <c r="AH110" s="2694"/>
      <c r="AI110" s="2695"/>
      <c r="AJ110" s="2696"/>
      <c r="AK110" s="2696"/>
      <c r="AL110" s="2696"/>
      <c r="AM110" s="2697"/>
      <c r="AN110" s="2693"/>
      <c r="AO110" s="2698"/>
      <c r="AP110" s="1287"/>
    </row>
    <row r="111" spans="1:48" ht="15" thickBot="1">
      <c r="A111" s="1491"/>
      <c r="B111" s="1491"/>
      <c r="C111" s="2699" t="s">
        <v>1906</v>
      </c>
      <c r="D111" s="2700"/>
      <c r="E111" s="2700"/>
      <c r="F111" s="2701"/>
      <c r="G111" s="2702"/>
      <c r="H111" s="2703"/>
      <c r="I111" s="2703"/>
      <c r="J111" s="2703"/>
      <c r="K111" s="2704"/>
      <c r="L111" s="2705"/>
      <c r="M111" s="2706"/>
      <c r="N111" s="2706"/>
      <c r="O111" s="2706"/>
      <c r="P111" s="2707"/>
      <c r="Q111" s="2708"/>
      <c r="R111" s="2709"/>
      <c r="S111" s="2705"/>
      <c r="T111" s="2706"/>
      <c r="U111" s="2706"/>
      <c r="V111" s="2706"/>
      <c r="W111" s="2706"/>
      <c r="X111" s="2707"/>
      <c r="Y111" s="2708"/>
      <c r="Z111" s="2709"/>
      <c r="AA111" s="2705"/>
      <c r="AB111" s="2706"/>
      <c r="AC111" s="2706"/>
      <c r="AD111" s="2706"/>
      <c r="AE111" s="2706"/>
      <c r="AF111" s="2707"/>
      <c r="AG111" s="2708"/>
      <c r="AH111" s="2709"/>
      <c r="AI111" s="2710"/>
      <c r="AJ111" s="2711"/>
      <c r="AK111" s="2711"/>
      <c r="AL111" s="2711"/>
      <c r="AM111" s="2712"/>
      <c r="AN111" s="2708"/>
      <c r="AO111" s="2713"/>
      <c r="AP111" s="1491"/>
    </row>
    <row r="112" spans="1:48">
      <c r="A112" s="1491"/>
      <c r="B112" s="1491"/>
      <c r="C112" s="784"/>
      <c r="D112" s="784"/>
      <c r="E112" s="784"/>
      <c r="F112" s="784"/>
      <c r="G112" s="1403"/>
      <c r="H112" s="1403"/>
      <c r="I112" s="1403"/>
      <c r="J112" s="1403"/>
      <c r="K112" s="1403"/>
      <c r="L112" s="1404"/>
      <c r="M112" s="1404"/>
      <c r="N112" s="1404"/>
      <c r="O112" s="1404"/>
      <c r="P112" s="1404"/>
      <c r="Q112" s="1405"/>
      <c r="R112" s="1405"/>
      <c r="S112" s="1404"/>
      <c r="T112" s="1404"/>
      <c r="U112" s="1404"/>
      <c r="V112" s="1404"/>
      <c r="W112" s="1404"/>
      <c r="X112" s="1404"/>
      <c r="Y112" s="1405"/>
      <c r="Z112" s="1405"/>
      <c r="AA112" s="1404"/>
      <c r="AB112" s="1404"/>
      <c r="AC112" s="1404"/>
      <c r="AD112" s="1404"/>
      <c r="AE112" s="1404"/>
      <c r="AF112" s="1404"/>
      <c r="AG112" s="1405"/>
      <c r="AH112" s="1405"/>
      <c r="AI112" s="770"/>
      <c r="AJ112" s="770"/>
      <c r="AK112" s="770"/>
      <c r="AL112" s="770"/>
      <c r="AM112" s="770"/>
      <c r="AN112" s="1405"/>
      <c r="AO112" s="1405"/>
      <c r="AP112" s="1491"/>
    </row>
    <row r="113" spans="1:43">
      <c r="A113" s="1491"/>
      <c r="B113" s="1491"/>
      <c r="C113" s="2714" t="s">
        <v>2183</v>
      </c>
      <c r="D113" s="2715"/>
      <c r="E113" s="2715"/>
      <c r="F113" s="2715"/>
      <c r="G113" s="2715"/>
      <c r="H113" s="2715"/>
      <c r="I113" s="2715"/>
      <c r="J113" s="2715"/>
      <c r="K113" s="2715"/>
      <c r="L113" s="2715"/>
      <c r="M113" s="2715"/>
      <c r="N113" s="2715"/>
      <c r="O113" s="2715"/>
      <c r="P113" s="2715"/>
      <c r="Q113" s="2715"/>
      <c r="R113" s="2715"/>
      <c r="S113" s="2715"/>
      <c r="T113" s="2715"/>
      <c r="U113" s="2715"/>
      <c r="V113" s="2715"/>
      <c r="W113" s="2715"/>
      <c r="X113" s="2715"/>
      <c r="Y113" s="2715"/>
      <c r="Z113" s="2715"/>
      <c r="AA113" s="2715"/>
      <c r="AB113" s="2715"/>
      <c r="AC113" s="2715"/>
      <c r="AD113" s="2715"/>
      <c r="AE113" s="2715"/>
      <c r="AF113" s="2715"/>
      <c r="AG113" s="2715"/>
      <c r="AH113" s="2715"/>
      <c r="AI113" s="2715"/>
      <c r="AJ113" s="2715"/>
      <c r="AK113" s="2715"/>
      <c r="AL113" s="2715"/>
      <c r="AM113" s="2715"/>
      <c r="AN113" s="2715"/>
      <c r="AO113" s="2716"/>
      <c r="AP113" s="1491"/>
    </row>
    <row r="114" spans="1:43" ht="15" customHeight="1">
      <c r="A114" s="1491"/>
      <c r="B114" s="1491"/>
      <c r="C114" s="2717" t="s">
        <v>1904</v>
      </c>
      <c r="D114" s="2718"/>
      <c r="E114" s="2718"/>
      <c r="F114" s="2719"/>
      <c r="G114" s="2723" t="s">
        <v>1905</v>
      </c>
      <c r="H114" s="2724"/>
      <c r="I114" s="2724"/>
      <c r="J114" s="2724"/>
      <c r="K114" s="2725"/>
      <c r="L114" s="2729" t="s">
        <v>1898</v>
      </c>
      <c r="M114" s="2730"/>
      <c r="N114" s="2730"/>
      <c r="O114" s="2730"/>
      <c r="P114" s="2730"/>
      <c r="Q114" s="2730"/>
      <c r="R114" s="2731"/>
      <c r="S114" s="2729" t="s">
        <v>1899</v>
      </c>
      <c r="T114" s="2730"/>
      <c r="U114" s="2730"/>
      <c r="V114" s="2730"/>
      <c r="W114" s="2730"/>
      <c r="X114" s="2730"/>
      <c r="Y114" s="2730"/>
      <c r="Z114" s="2731"/>
      <c r="AA114" s="2729" t="s">
        <v>1900</v>
      </c>
      <c r="AB114" s="2730"/>
      <c r="AC114" s="2730"/>
      <c r="AD114" s="2730"/>
      <c r="AE114" s="2730"/>
      <c r="AF114" s="2730"/>
      <c r="AG114" s="2730"/>
      <c r="AH114" s="2731"/>
      <c r="AI114" s="2729" t="s">
        <v>1901</v>
      </c>
      <c r="AJ114" s="2730"/>
      <c r="AK114" s="2730"/>
      <c r="AL114" s="2730"/>
      <c r="AM114" s="2730"/>
      <c r="AN114" s="2730"/>
      <c r="AO114" s="2732"/>
      <c r="AP114" s="1491"/>
      <c r="AQ114" s="1466">
        <v>185215.69</v>
      </c>
    </row>
    <row r="115" spans="1:43" ht="15" thickBot="1">
      <c r="A115" s="1491"/>
      <c r="B115" s="1491"/>
      <c r="C115" s="2720"/>
      <c r="D115" s="2721"/>
      <c r="E115" s="2721"/>
      <c r="F115" s="2722"/>
      <c r="G115" s="2726"/>
      <c r="H115" s="2727"/>
      <c r="I115" s="2727"/>
      <c r="J115" s="2727"/>
      <c r="K115" s="2728"/>
      <c r="L115" s="2733" t="s">
        <v>1</v>
      </c>
      <c r="M115" s="2718"/>
      <c r="N115" s="2718"/>
      <c r="O115" s="2718"/>
      <c r="P115" s="2719"/>
      <c r="Q115" s="2733" t="s">
        <v>0</v>
      </c>
      <c r="R115" s="2719"/>
      <c r="S115" s="2733" t="s">
        <v>1</v>
      </c>
      <c r="T115" s="2718"/>
      <c r="U115" s="2718"/>
      <c r="V115" s="2718"/>
      <c r="W115" s="2718"/>
      <c r="X115" s="2719"/>
      <c r="Y115" s="2733" t="s">
        <v>0</v>
      </c>
      <c r="Z115" s="2719"/>
      <c r="AA115" s="2733" t="s">
        <v>1</v>
      </c>
      <c r="AB115" s="2718"/>
      <c r="AC115" s="2718"/>
      <c r="AD115" s="2718"/>
      <c r="AE115" s="2718"/>
      <c r="AF115" s="2719"/>
      <c r="AG115" s="2733" t="s">
        <v>0</v>
      </c>
      <c r="AH115" s="2719"/>
      <c r="AI115" s="2733" t="s">
        <v>1</v>
      </c>
      <c r="AJ115" s="2718"/>
      <c r="AK115" s="2718"/>
      <c r="AL115" s="2718"/>
      <c r="AM115" s="2719"/>
      <c r="AN115" s="2733" t="s">
        <v>0</v>
      </c>
      <c r="AO115" s="2734"/>
      <c r="AP115" s="1491"/>
      <c r="AQ115" s="1543">
        <f>AQ114+G116</f>
        <v>9333700.6899999995</v>
      </c>
    </row>
    <row r="116" spans="1:43">
      <c r="A116" s="1288"/>
      <c r="B116" s="1288"/>
      <c r="C116" s="2745" t="s">
        <v>1902</v>
      </c>
      <c r="D116" s="2746"/>
      <c r="E116" s="2746"/>
      <c r="F116" s="2746"/>
      <c r="G116" s="2747">
        <f>+'[29]F6 OCTUBRE'!$G$61</f>
        <v>9148485</v>
      </c>
      <c r="H116" s="2747"/>
      <c r="I116" s="2747"/>
      <c r="J116" s="2747"/>
      <c r="K116" s="2747"/>
      <c r="L116" s="2748"/>
      <c r="M116" s="2748"/>
      <c r="N116" s="2748"/>
      <c r="O116" s="2748"/>
      <c r="P116" s="2748"/>
      <c r="Q116" s="2736"/>
      <c r="R116" s="2736"/>
      <c r="S116" s="2749"/>
      <c r="T116" s="2749"/>
      <c r="U116" s="2749"/>
      <c r="V116" s="2749"/>
      <c r="W116" s="2749"/>
      <c r="X116" s="2749"/>
      <c r="Y116" s="2736"/>
      <c r="Z116" s="2736"/>
      <c r="AA116" s="2735"/>
      <c r="AB116" s="2735"/>
      <c r="AC116" s="2735"/>
      <c r="AD116" s="2735"/>
      <c r="AE116" s="2735"/>
      <c r="AF116" s="2735"/>
      <c r="AG116" s="2736"/>
      <c r="AH116" s="2736"/>
      <c r="AI116" s="2737"/>
      <c r="AJ116" s="2737"/>
      <c r="AK116" s="2737"/>
      <c r="AL116" s="2737"/>
      <c r="AM116" s="2737"/>
      <c r="AN116" s="2736"/>
      <c r="AO116" s="2738"/>
      <c r="AP116" s="1288"/>
    </row>
    <row r="117" spans="1:43">
      <c r="A117" s="1288"/>
      <c r="B117" s="1288"/>
      <c r="C117" s="2739" t="s">
        <v>1903</v>
      </c>
      <c r="D117" s="2740"/>
      <c r="E117" s="2740"/>
      <c r="F117" s="2740"/>
      <c r="G117" s="2741">
        <f>G116</f>
        <v>9148485</v>
      </c>
      <c r="H117" s="2741"/>
      <c r="I117" s="2741"/>
      <c r="J117" s="2741"/>
      <c r="K117" s="2741"/>
      <c r="L117" s="2742">
        <f>+'[30]F6 NOVIEMBRE'!$Q$63</f>
        <v>5654994.1574670002</v>
      </c>
      <c r="M117" s="2742"/>
      <c r="N117" s="2742"/>
      <c r="O117" s="2742"/>
      <c r="P117" s="2742"/>
      <c r="Q117" s="2743">
        <f>L117/G116</f>
        <v>0.6181344952160932</v>
      </c>
      <c r="R117" s="2743"/>
      <c r="S117" s="2744">
        <f>+'[30]F6 NOVIEMBRE'!$R$61</f>
        <v>1046883.0439770001</v>
      </c>
      <c r="T117" s="2744"/>
      <c r="U117" s="2744"/>
      <c r="V117" s="2744"/>
      <c r="W117" s="2744"/>
      <c r="X117" s="2744"/>
      <c r="Y117" s="2743">
        <f>S117/G116</f>
        <v>0.11443239443219287</v>
      </c>
      <c r="Z117" s="2743"/>
      <c r="AA117" s="2742">
        <f>SUM(L117,S117)</f>
        <v>6701877.201444</v>
      </c>
      <c r="AB117" s="2742"/>
      <c r="AC117" s="2742"/>
      <c r="AD117" s="2742"/>
      <c r="AE117" s="2742"/>
      <c r="AF117" s="2742"/>
      <c r="AG117" s="2743">
        <f>AA117/G116</f>
        <v>0.73256688964828598</v>
      </c>
      <c r="AH117" s="2743"/>
      <c r="AI117" s="2750">
        <f>G117-AA117</f>
        <v>2446607.798556</v>
      </c>
      <c r="AJ117" s="2750"/>
      <c r="AK117" s="2750"/>
      <c r="AL117" s="2750"/>
      <c r="AM117" s="2750"/>
      <c r="AN117" s="2743">
        <f>AI117/G116</f>
        <v>0.26743311035171397</v>
      </c>
      <c r="AO117" s="2751"/>
      <c r="AP117" s="1288"/>
    </row>
    <row r="118" spans="1:43">
      <c r="A118" s="1288"/>
      <c r="B118" s="1288"/>
      <c r="C118" s="2739"/>
      <c r="D118" s="2740"/>
      <c r="E118" s="2740"/>
      <c r="F118" s="2740"/>
      <c r="G118" s="2760"/>
      <c r="H118" s="2760"/>
      <c r="I118" s="2760"/>
      <c r="J118" s="2760"/>
      <c r="K118" s="2760"/>
      <c r="L118" s="2761"/>
      <c r="M118" s="2761"/>
      <c r="N118" s="2761"/>
      <c r="O118" s="2761"/>
      <c r="P118" s="2761"/>
      <c r="Q118" s="2762"/>
      <c r="R118" s="2762"/>
      <c r="S118" s="2742"/>
      <c r="T118" s="2742"/>
      <c r="U118" s="2742"/>
      <c r="V118" s="2742"/>
      <c r="W118" s="2742"/>
      <c r="X118" s="2742"/>
      <c r="Y118" s="2762"/>
      <c r="Z118" s="2762"/>
      <c r="AA118" s="2690"/>
      <c r="AB118" s="2691"/>
      <c r="AC118" s="2691"/>
      <c r="AD118" s="2691"/>
      <c r="AE118" s="2691"/>
      <c r="AF118" s="2692"/>
      <c r="AG118" s="2693"/>
      <c r="AH118" s="2694"/>
      <c r="AI118" s="2695"/>
      <c r="AJ118" s="2696"/>
      <c r="AK118" s="2696"/>
      <c r="AL118" s="2696"/>
      <c r="AM118" s="2697"/>
      <c r="AN118" s="2693"/>
      <c r="AO118" s="2698"/>
      <c r="AP118" s="1288"/>
    </row>
    <row r="119" spans="1:43" ht="15" thickBot="1">
      <c r="A119" s="1288"/>
      <c r="B119" s="1288"/>
      <c r="C119" s="2752"/>
      <c r="D119" s="2753"/>
      <c r="E119" s="2753"/>
      <c r="F119" s="2753"/>
      <c r="G119" s="2754"/>
      <c r="H119" s="2754"/>
      <c r="I119" s="2754"/>
      <c r="J119" s="2754"/>
      <c r="K119" s="2754"/>
      <c r="L119" s="2755"/>
      <c r="M119" s="2755"/>
      <c r="N119" s="2755"/>
      <c r="O119" s="2755"/>
      <c r="P119" s="2755"/>
      <c r="Q119" s="2756"/>
      <c r="R119" s="2756"/>
      <c r="S119" s="2755"/>
      <c r="T119" s="2755"/>
      <c r="U119" s="2755"/>
      <c r="V119" s="2755"/>
      <c r="W119" s="2755"/>
      <c r="X119" s="2755"/>
      <c r="Y119" s="2756"/>
      <c r="Z119" s="2756"/>
      <c r="AA119" s="2757"/>
      <c r="AB119" s="2757"/>
      <c r="AC119" s="2757"/>
      <c r="AD119" s="2757"/>
      <c r="AE119" s="2757"/>
      <c r="AF119" s="2757"/>
      <c r="AG119" s="2756"/>
      <c r="AH119" s="2756"/>
      <c r="AI119" s="2758"/>
      <c r="AJ119" s="2758"/>
      <c r="AK119" s="2758"/>
      <c r="AL119" s="2758"/>
      <c r="AM119" s="2758"/>
      <c r="AN119" s="2756"/>
      <c r="AO119" s="2759"/>
      <c r="AP119" s="1288"/>
    </row>
    <row r="120" spans="1:43">
      <c r="A120" s="1491"/>
      <c r="B120" s="1491"/>
      <c r="C120" s="784"/>
      <c r="D120" s="784"/>
      <c r="E120" s="784"/>
      <c r="F120" s="784"/>
      <c r="G120" s="1403"/>
      <c r="H120" s="1403"/>
      <c r="I120" s="1403"/>
      <c r="J120" s="1403"/>
      <c r="K120" s="1403"/>
      <c r="L120" s="1404"/>
      <c r="M120" s="1404"/>
      <c r="N120" s="1404"/>
      <c r="O120" s="1404"/>
      <c r="P120" s="1404"/>
      <c r="Q120" s="1405"/>
      <c r="R120" s="1405"/>
      <c r="S120" s="1404"/>
      <c r="T120" s="1404"/>
      <c r="U120" s="1404"/>
      <c r="V120" s="1404"/>
      <c r="W120" s="1404"/>
      <c r="X120" s="1404"/>
      <c r="Y120" s="1405"/>
      <c r="Z120" s="1405"/>
      <c r="AA120" s="1404"/>
      <c r="AB120" s="1404"/>
      <c r="AC120" s="1404"/>
      <c r="AD120" s="1404"/>
      <c r="AE120" s="1404"/>
      <c r="AF120" s="1404"/>
      <c r="AG120" s="1405"/>
      <c r="AH120" s="1405"/>
      <c r="AI120" s="770"/>
      <c r="AJ120" s="770"/>
      <c r="AK120" s="770"/>
      <c r="AL120" s="770"/>
      <c r="AM120" s="770"/>
      <c r="AN120" s="1405"/>
      <c r="AO120" s="1405"/>
      <c r="AP120" s="1491"/>
    </row>
    <row r="121" spans="1:43" ht="15" thickBot="1">
      <c r="A121" s="1491"/>
      <c r="B121" s="1491"/>
      <c r="C121" s="2763" t="s">
        <v>3721</v>
      </c>
      <c r="D121" s="2763"/>
      <c r="E121" s="2763"/>
      <c r="F121" s="2763"/>
      <c r="G121" s="2763"/>
      <c r="H121" s="2763"/>
      <c r="I121" s="2763"/>
      <c r="J121" s="2763"/>
      <c r="K121" s="2763"/>
      <c r="L121" s="2763"/>
      <c r="M121" s="2763"/>
      <c r="N121" s="2763"/>
      <c r="O121" s="2763"/>
      <c r="P121" s="2763"/>
      <c r="Q121" s="2763"/>
      <c r="R121" s="2763"/>
      <c r="S121" s="2763"/>
      <c r="T121" s="2763"/>
      <c r="U121" s="2763"/>
      <c r="V121" s="2763"/>
      <c r="W121" s="2763"/>
      <c r="X121" s="2763"/>
      <c r="Y121" s="2763"/>
      <c r="Z121" s="2763"/>
      <c r="AA121" s="2763"/>
      <c r="AB121" s="2763"/>
      <c r="AC121" s="2763"/>
      <c r="AD121" s="2763"/>
      <c r="AE121" s="2763"/>
      <c r="AF121" s="2763"/>
      <c r="AG121" s="2763"/>
      <c r="AH121" s="2763"/>
      <c r="AI121" s="2763"/>
      <c r="AJ121" s="2763"/>
      <c r="AK121" s="2763"/>
      <c r="AL121" s="2763"/>
      <c r="AM121" s="2763"/>
      <c r="AN121" s="2763"/>
      <c r="AO121" s="2763"/>
      <c r="AP121" s="1491"/>
      <c r="AQ121" s="1466">
        <v>19902744.010000005</v>
      </c>
    </row>
    <row r="122" spans="1:43" ht="15" customHeight="1">
      <c r="A122" s="1491"/>
      <c r="B122" s="1491"/>
      <c r="C122" s="2551" t="s">
        <v>1904</v>
      </c>
      <c r="D122" s="2552"/>
      <c r="E122" s="2552"/>
      <c r="F122" s="2553"/>
      <c r="G122" s="2557" t="s">
        <v>1905</v>
      </c>
      <c r="H122" s="2558"/>
      <c r="I122" s="2558"/>
      <c r="J122" s="2558"/>
      <c r="K122" s="2559"/>
      <c r="L122" s="2563" t="s">
        <v>1898</v>
      </c>
      <c r="M122" s="2564"/>
      <c r="N122" s="2564"/>
      <c r="O122" s="2564"/>
      <c r="P122" s="2564"/>
      <c r="Q122" s="2564"/>
      <c r="R122" s="2565"/>
      <c r="S122" s="2563" t="s">
        <v>1899</v>
      </c>
      <c r="T122" s="2564"/>
      <c r="U122" s="2564"/>
      <c r="V122" s="2564"/>
      <c r="W122" s="2564"/>
      <c r="X122" s="2564"/>
      <c r="Y122" s="2564"/>
      <c r="Z122" s="2565"/>
      <c r="AA122" s="2563" t="s">
        <v>1900</v>
      </c>
      <c r="AB122" s="2564"/>
      <c r="AC122" s="2564"/>
      <c r="AD122" s="2564"/>
      <c r="AE122" s="2564"/>
      <c r="AF122" s="2564"/>
      <c r="AG122" s="2564"/>
      <c r="AH122" s="2565"/>
      <c r="AI122" s="2563" t="s">
        <v>1901</v>
      </c>
      <c r="AJ122" s="2564"/>
      <c r="AK122" s="2564"/>
      <c r="AL122" s="2564"/>
      <c r="AM122" s="2564"/>
      <c r="AN122" s="2564"/>
      <c r="AO122" s="2566"/>
      <c r="AP122" s="1491"/>
    </row>
    <row r="123" spans="1:43" ht="15" thickBot="1">
      <c r="A123" s="1491"/>
      <c r="B123" s="1491"/>
      <c r="C123" s="2554"/>
      <c r="D123" s="2555"/>
      <c r="E123" s="2555"/>
      <c r="F123" s="2556"/>
      <c r="G123" s="2560"/>
      <c r="H123" s="2561"/>
      <c r="I123" s="2561"/>
      <c r="J123" s="2561"/>
      <c r="K123" s="2562"/>
      <c r="L123" s="2536" t="s">
        <v>1</v>
      </c>
      <c r="M123" s="2537"/>
      <c r="N123" s="2537"/>
      <c r="O123" s="2537"/>
      <c r="P123" s="2538"/>
      <c r="Q123" s="2536" t="s">
        <v>0</v>
      </c>
      <c r="R123" s="2538"/>
      <c r="S123" s="2536" t="s">
        <v>1</v>
      </c>
      <c r="T123" s="2537"/>
      <c r="U123" s="2537"/>
      <c r="V123" s="2537"/>
      <c r="W123" s="2537"/>
      <c r="X123" s="2538"/>
      <c r="Y123" s="2536" t="s">
        <v>0</v>
      </c>
      <c r="Z123" s="2538"/>
      <c r="AA123" s="2536" t="s">
        <v>1</v>
      </c>
      <c r="AB123" s="2537"/>
      <c r="AC123" s="2537"/>
      <c r="AD123" s="2537"/>
      <c r="AE123" s="2537"/>
      <c r="AF123" s="2538"/>
      <c r="AG123" s="2536" t="s">
        <v>0</v>
      </c>
      <c r="AH123" s="2538"/>
      <c r="AI123" s="2536" t="s">
        <v>1</v>
      </c>
      <c r="AJ123" s="2537"/>
      <c r="AK123" s="2537"/>
      <c r="AL123" s="2537"/>
      <c r="AM123" s="2538"/>
      <c r="AN123" s="2536" t="s">
        <v>0</v>
      </c>
      <c r="AO123" s="2539"/>
      <c r="AP123" s="1491"/>
    </row>
    <row r="124" spans="1:43" ht="15" thickBot="1">
      <c r="A124" s="1288"/>
      <c r="B124" s="1288"/>
      <c r="C124" s="2782" t="s">
        <v>1903</v>
      </c>
      <c r="D124" s="2783"/>
      <c r="E124" s="2783"/>
      <c r="F124" s="2784"/>
      <c r="G124" s="2785">
        <v>19710096.879999999</v>
      </c>
      <c r="H124" s="2786"/>
      <c r="I124" s="2786"/>
      <c r="J124" s="2786"/>
      <c r="K124" s="2787"/>
      <c r="L124" s="2788">
        <f>+'[30]F6 NOVIEMBRE'!$D$65</f>
        <v>16216606.037467001</v>
      </c>
      <c r="M124" s="2789"/>
      <c r="N124" s="2789"/>
      <c r="O124" s="2789"/>
      <c r="P124" s="2790"/>
      <c r="Q124" s="2767">
        <f>L124/G124</f>
        <v>0.82275628253872901</v>
      </c>
      <c r="R124" s="2768"/>
      <c r="S124" s="2791">
        <f>+S117</f>
        <v>1046883.0439770001</v>
      </c>
      <c r="T124" s="2792"/>
      <c r="U124" s="2792"/>
      <c r="V124" s="2792"/>
      <c r="W124" s="2792"/>
      <c r="X124" s="2793"/>
      <c r="Y124" s="2767">
        <f>S124/G124</f>
        <v>5.3114048619379496E-2</v>
      </c>
      <c r="Z124" s="2768"/>
      <c r="AA124" s="2764">
        <f>SUM(L124,S124)</f>
        <v>17263489.081444003</v>
      </c>
      <c r="AB124" s="2765"/>
      <c r="AC124" s="2765"/>
      <c r="AD124" s="2765"/>
      <c r="AE124" s="2765"/>
      <c r="AF124" s="2766"/>
      <c r="AG124" s="2767">
        <f>AA124/G124</f>
        <v>0.87587033115810864</v>
      </c>
      <c r="AH124" s="2768"/>
      <c r="AI124" s="2769">
        <f>G124-AA124</f>
        <v>2446607.7985559963</v>
      </c>
      <c r="AJ124" s="2770"/>
      <c r="AK124" s="2770"/>
      <c r="AL124" s="2770"/>
      <c r="AM124" s="2771"/>
      <c r="AN124" s="2767">
        <f>AI124/G124</f>
        <v>0.12412966884189137</v>
      </c>
      <c r="AO124" s="2772"/>
      <c r="AP124" s="1288"/>
      <c r="AQ124" s="1466">
        <v>872549.75</v>
      </c>
    </row>
    <row r="125" spans="1:43">
      <c r="A125" s="1491"/>
      <c r="B125" s="1491"/>
      <c r="C125" s="1406"/>
      <c r="D125" s="784"/>
      <c r="E125" s="784"/>
      <c r="F125" s="784"/>
      <c r="G125" s="1403"/>
      <c r="H125" s="1403"/>
      <c r="I125" s="1403"/>
      <c r="J125" s="1403"/>
      <c r="K125" s="1403"/>
      <c r="L125" s="1404"/>
      <c r="M125" s="1404"/>
      <c r="N125" s="1404"/>
      <c r="O125" s="1404"/>
      <c r="P125" s="1404"/>
      <c r="Q125" s="1407"/>
      <c r="R125" s="1407"/>
      <c r="S125" s="1404"/>
      <c r="T125" s="1404"/>
      <c r="U125" s="1404"/>
      <c r="V125" s="1404"/>
      <c r="W125" s="1404"/>
      <c r="X125" s="1404"/>
      <c r="Y125" s="1407"/>
      <c r="Z125" s="1407"/>
      <c r="AA125" s="1404"/>
      <c r="AB125" s="1404"/>
      <c r="AC125" s="1404"/>
      <c r="AD125" s="1404"/>
      <c r="AE125" s="1404"/>
      <c r="AF125" s="1404"/>
      <c r="AG125" s="1407"/>
      <c r="AH125" s="1407"/>
      <c r="AI125" s="1408"/>
      <c r="AJ125" s="1408"/>
      <c r="AK125" s="1408"/>
      <c r="AL125" s="1408"/>
      <c r="AM125" s="1408"/>
      <c r="AN125" s="1407"/>
      <c r="AO125" s="1407"/>
      <c r="AP125" s="1491"/>
    </row>
    <row r="126" spans="1:43">
      <c r="A126" s="1491"/>
      <c r="B126" s="1214" t="s">
        <v>1907</v>
      </c>
      <c r="C126" s="767"/>
      <c r="D126" s="767"/>
      <c r="E126" s="767"/>
      <c r="F126" s="767"/>
      <c r="G126" s="767"/>
      <c r="H126" s="767"/>
      <c r="I126" s="767"/>
      <c r="J126" s="767"/>
      <c r="K126" s="767"/>
      <c r="L126" s="767"/>
      <c r="M126" s="1491"/>
      <c r="N126" s="1491"/>
      <c r="O126" s="1491"/>
      <c r="P126" s="1491"/>
      <c r="Q126" s="1491"/>
      <c r="R126" s="1491"/>
      <c r="S126" s="1491"/>
      <c r="T126" s="1491"/>
      <c r="U126" s="1491"/>
      <c r="V126" s="1491"/>
      <c r="W126" s="1491"/>
      <c r="X126" s="1491"/>
      <c r="Y126" s="1491"/>
      <c r="Z126" s="1491"/>
      <c r="AA126" s="1491"/>
      <c r="AB126" s="1491"/>
      <c r="AC126" s="1491"/>
      <c r="AD126" s="1491"/>
      <c r="AE126" s="1491"/>
      <c r="AF126" s="1491"/>
      <c r="AG126" s="1491"/>
      <c r="AH126" s="1491"/>
      <c r="AI126" s="1491"/>
      <c r="AJ126" s="1491"/>
      <c r="AK126" s="1491"/>
      <c r="AL126" s="1491"/>
      <c r="AM126" s="1145"/>
      <c r="AN126" s="1145"/>
      <c r="AO126" s="1145"/>
      <c r="AP126" s="1491"/>
    </row>
    <row r="127" spans="1:43" ht="8.25" customHeight="1">
      <c r="A127" s="1491"/>
      <c r="B127" s="1491"/>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48"/>
      <c r="AI127" s="1348"/>
      <c r="AJ127" s="1348"/>
      <c r="AK127" s="1348"/>
      <c r="AL127" s="1348"/>
      <c r="AM127" s="1348"/>
      <c r="AN127" s="1348"/>
      <c r="AO127" s="1491"/>
      <c r="AP127" s="1491"/>
    </row>
    <row r="128" spans="1:43" ht="15" customHeight="1">
      <c r="A128" s="1465"/>
      <c r="B128" s="1465"/>
      <c r="C128" s="1544"/>
      <c r="D128" s="2773" t="s">
        <v>4337</v>
      </c>
      <c r="E128" s="2774"/>
      <c r="F128" s="2774"/>
      <c r="G128" s="2774"/>
      <c r="H128" s="2774"/>
      <c r="I128" s="2774"/>
      <c r="J128" s="2774"/>
      <c r="K128" s="2774"/>
      <c r="L128" s="2774"/>
      <c r="M128" s="2774"/>
      <c r="N128" s="2774"/>
      <c r="O128" s="2774"/>
      <c r="P128" s="2774"/>
      <c r="Q128" s="2774"/>
      <c r="R128" s="2774"/>
      <c r="S128" s="2774"/>
      <c r="T128" s="2774"/>
      <c r="U128" s="2774"/>
      <c r="V128" s="2774"/>
      <c r="W128" s="2774"/>
      <c r="X128" s="2774"/>
      <c r="Y128" s="2774"/>
      <c r="Z128" s="2774"/>
      <c r="AA128" s="2774"/>
      <c r="AB128" s="2774"/>
      <c r="AC128" s="2774"/>
      <c r="AD128" s="2774"/>
      <c r="AE128" s="2774"/>
      <c r="AF128" s="2774"/>
      <c r="AG128" s="2775"/>
      <c r="AH128" s="1465"/>
      <c r="AI128" s="1465"/>
      <c r="AJ128" s="1465"/>
      <c r="AK128" s="1465"/>
      <c r="AL128" s="1465"/>
      <c r="AM128" s="1465"/>
      <c r="AN128" s="1465"/>
      <c r="AO128" s="1465"/>
      <c r="AP128" s="1465"/>
      <c r="AQ128" s="1543">
        <v>479208.93</v>
      </c>
    </row>
    <row r="129" spans="1:50" ht="24" customHeight="1">
      <c r="A129" s="1455"/>
      <c r="B129" s="1455"/>
      <c r="C129" s="1461"/>
      <c r="D129" s="2518" t="s">
        <v>3576</v>
      </c>
      <c r="E129" s="2520"/>
      <c r="F129" s="2773" t="s">
        <v>1908</v>
      </c>
      <c r="G129" s="2774"/>
      <c r="H129" s="2774"/>
      <c r="I129" s="2774"/>
      <c r="J129" s="2774"/>
      <c r="K129" s="2775"/>
      <c r="L129" s="2773" t="s">
        <v>1909</v>
      </c>
      <c r="M129" s="2774"/>
      <c r="N129" s="2774"/>
      <c r="O129" s="2774"/>
      <c r="P129" s="2774"/>
      <c r="Q129" s="2774"/>
      <c r="R129" s="2774"/>
      <c r="S129" s="2774"/>
      <c r="T129" s="2775"/>
      <c r="U129" s="2773" t="s">
        <v>1910</v>
      </c>
      <c r="V129" s="2774"/>
      <c r="W129" s="2774"/>
      <c r="X129" s="2774"/>
      <c r="Y129" s="2774"/>
      <c r="Z129" s="2774"/>
      <c r="AA129" s="2774"/>
      <c r="AB129" s="2774"/>
      <c r="AC129" s="2775"/>
      <c r="AD129" s="2776" t="s">
        <v>2</v>
      </c>
      <c r="AE129" s="2777"/>
      <c r="AF129" s="2777"/>
      <c r="AG129" s="2778"/>
      <c r="AH129" s="1459"/>
      <c r="AI129" s="1459"/>
      <c r="AJ129" s="1459"/>
      <c r="AK129" s="1459"/>
      <c r="AL129" s="1459"/>
      <c r="AM129" s="1459"/>
      <c r="AN129" s="1459"/>
      <c r="AO129" s="1455"/>
      <c r="AP129" s="1455"/>
      <c r="AQ129" s="2315">
        <f>+AQ128-AD136</f>
        <v>0</v>
      </c>
    </row>
    <row r="130" spans="1:50" ht="20.100000000000001" customHeight="1">
      <c r="A130" s="1455"/>
      <c r="B130" s="1455"/>
      <c r="C130" s="1461"/>
      <c r="D130" s="2524"/>
      <c r="E130" s="2526"/>
      <c r="F130" s="2773" t="s">
        <v>1911</v>
      </c>
      <c r="G130" s="2774"/>
      <c r="H130" s="2775"/>
      <c r="I130" s="2773" t="s">
        <v>1912</v>
      </c>
      <c r="J130" s="2774"/>
      <c r="K130" s="2775"/>
      <c r="L130" s="2773" t="s">
        <v>1913</v>
      </c>
      <c r="M130" s="2774"/>
      <c r="N130" s="2775"/>
      <c r="O130" s="2773" t="s">
        <v>1914</v>
      </c>
      <c r="P130" s="2774"/>
      <c r="Q130" s="2775"/>
      <c r="R130" s="2773" t="s">
        <v>1915</v>
      </c>
      <c r="S130" s="2774"/>
      <c r="T130" s="2775"/>
      <c r="U130" s="2773" t="s">
        <v>1913</v>
      </c>
      <c r="V130" s="2774"/>
      <c r="W130" s="2775"/>
      <c r="X130" s="2773" t="s">
        <v>1914</v>
      </c>
      <c r="Y130" s="2774"/>
      <c r="Z130" s="2775"/>
      <c r="AA130" s="2773" t="s">
        <v>1915</v>
      </c>
      <c r="AB130" s="2774"/>
      <c r="AC130" s="2775"/>
      <c r="AD130" s="2779"/>
      <c r="AE130" s="2780"/>
      <c r="AF130" s="2780"/>
      <c r="AG130" s="2781"/>
      <c r="AH130" s="2806"/>
      <c r="AI130" s="2807"/>
      <c r="AJ130" s="2807"/>
      <c r="AK130" s="2807"/>
      <c r="AL130" s="2807"/>
      <c r="AM130" s="2807"/>
      <c r="AN130" s="1459"/>
      <c r="AO130" s="1455"/>
      <c r="AP130" s="1455"/>
      <c r="AQ130" s="1466">
        <v>5858.0199999999795</v>
      </c>
      <c r="AR130" s="1545" t="s">
        <v>1953</v>
      </c>
      <c r="AS130" s="1545" t="s">
        <v>1954</v>
      </c>
      <c r="AT130" s="1545" t="s">
        <v>1955</v>
      </c>
    </row>
    <row r="131" spans="1:50">
      <c r="A131" s="1455"/>
      <c r="B131" s="1455"/>
      <c r="C131" s="1461"/>
      <c r="D131" s="2794">
        <v>1</v>
      </c>
      <c r="E131" s="2795"/>
      <c r="F131" s="2796">
        <v>44501</v>
      </c>
      <c r="G131" s="2797"/>
      <c r="H131" s="2798"/>
      <c r="I131" s="2796">
        <f>+F131+6</f>
        <v>44507</v>
      </c>
      <c r="J131" s="2797"/>
      <c r="K131" s="2798"/>
      <c r="L131" s="2799">
        <f>SUM('[30]formato 12'!$C$34:$I$34)</f>
        <v>397</v>
      </c>
      <c r="M131" s="2424"/>
      <c r="N131" s="2800"/>
      <c r="O131" s="2799">
        <f>SUM('[30]formato 12'!$C$35:$I$35)</f>
        <v>92</v>
      </c>
      <c r="P131" s="2424"/>
      <c r="Q131" s="2800"/>
      <c r="R131" s="2799">
        <f>SUM('[30]formato 12'!$C$36:$I$36)</f>
        <v>329</v>
      </c>
      <c r="S131" s="2424"/>
      <c r="T131" s="2800"/>
      <c r="U131" s="2801">
        <f>L131*AT$131</f>
        <v>43666.030000000006</v>
      </c>
      <c r="V131" s="2802"/>
      <c r="W131" s="2803"/>
      <c r="X131" s="2801">
        <f>O131*AS$131</f>
        <v>13614.16</v>
      </c>
      <c r="Y131" s="2802"/>
      <c r="Z131" s="2803"/>
      <c r="AA131" s="2801">
        <f>R131*AR$131</f>
        <v>49155.89</v>
      </c>
      <c r="AB131" s="2802"/>
      <c r="AC131" s="2803"/>
      <c r="AD131" s="2801">
        <f>SUM(U131:AC131)</f>
        <v>106436.08</v>
      </c>
      <c r="AE131" s="2802"/>
      <c r="AF131" s="2802"/>
      <c r="AG131" s="2803"/>
      <c r="AH131" s="2804"/>
      <c r="AI131" s="2805"/>
      <c r="AJ131" s="2805"/>
      <c r="AK131" s="2805"/>
      <c r="AL131" s="2805"/>
      <c r="AM131" s="2805"/>
      <c r="AN131" s="1459"/>
      <c r="AO131" s="1455"/>
      <c r="AP131" s="1455"/>
      <c r="AR131" s="1545">
        <f>136.5+5.12+3.9+3.89</f>
        <v>149.41</v>
      </c>
      <c r="AS131" s="1545">
        <f>118+14.98+15</f>
        <v>147.97999999999999</v>
      </c>
      <c r="AT131" s="1545">
        <f>105.7+4.29</f>
        <v>109.99000000000001</v>
      </c>
    </row>
    <row r="132" spans="1:50">
      <c r="A132" s="1455"/>
      <c r="B132" s="1455"/>
      <c r="C132" s="1461"/>
      <c r="D132" s="2794">
        <v>2</v>
      </c>
      <c r="E132" s="2795"/>
      <c r="F132" s="2796">
        <f>I131+1</f>
        <v>44508</v>
      </c>
      <c r="G132" s="2797"/>
      <c r="H132" s="2798"/>
      <c r="I132" s="2796">
        <f>+F132+6</f>
        <v>44514</v>
      </c>
      <c r="J132" s="2797"/>
      <c r="K132" s="2798"/>
      <c r="L132" s="2799">
        <f>SUM('[30]formato 12'!$J$34:$P$34)</f>
        <v>420</v>
      </c>
      <c r="M132" s="2424"/>
      <c r="N132" s="2800"/>
      <c r="O132" s="2799">
        <f>SUM('[30]formato 12'!$J$35:$P$35)</f>
        <v>92</v>
      </c>
      <c r="P132" s="2424"/>
      <c r="Q132" s="2800"/>
      <c r="R132" s="2799">
        <f>SUM('[30]formato 12'!$J$36:$P$36)</f>
        <v>343</v>
      </c>
      <c r="S132" s="2424"/>
      <c r="T132" s="2800"/>
      <c r="U132" s="2801">
        <f>L132*AT$131</f>
        <v>46195.8</v>
      </c>
      <c r="V132" s="2802"/>
      <c r="W132" s="2803"/>
      <c r="X132" s="2801">
        <f>O132*AS$131</f>
        <v>13614.16</v>
      </c>
      <c r="Y132" s="2802"/>
      <c r="Z132" s="2803"/>
      <c r="AA132" s="2801">
        <f>R132*AR$131</f>
        <v>51247.63</v>
      </c>
      <c r="AB132" s="2802"/>
      <c r="AC132" s="2803"/>
      <c r="AD132" s="2801">
        <f>SUM(U132:AC132)</f>
        <v>111057.59</v>
      </c>
      <c r="AE132" s="2802"/>
      <c r="AF132" s="2802"/>
      <c r="AG132" s="2803"/>
      <c r="AH132" s="1546"/>
      <c r="AI132" s="1546"/>
      <c r="AJ132" s="1546"/>
      <c r="AK132" s="1546"/>
      <c r="AL132" s="1546"/>
      <c r="AM132" s="1546"/>
      <c r="AN132" s="1459"/>
      <c r="AP132" s="1455"/>
      <c r="AQ132" s="1455">
        <f>+AQ130/R136</f>
        <v>3.9027448367754696</v>
      </c>
      <c r="AR132" s="1466">
        <v>123</v>
      </c>
      <c r="AS132" s="1466">
        <v>106.114</v>
      </c>
      <c r="AT132" s="1466">
        <v>100.063</v>
      </c>
    </row>
    <row r="133" spans="1:50">
      <c r="A133" s="1455"/>
      <c r="B133" s="1455"/>
      <c r="C133" s="1461"/>
      <c r="D133" s="2794">
        <v>3</v>
      </c>
      <c r="E133" s="2795"/>
      <c r="F133" s="2796">
        <f>+I132+1</f>
        <v>44515</v>
      </c>
      <c r="G133" s="2797"/>
      <c r="H133" s="2798"/>
      <c r="I133" s="2796">
        <f t="shared" ref="I133" si="10">+F133+6</f>
        <v>44521</v>
      </c>
      <c r="J133" s="2797"/>
      <c r="K133" s="2798"/>
      <c r="L133" s="2799">
        <f>SUM('[30]formato 12'!$Q$34:$W$34)</f>
        <v>435</v>
      </c>
      <c r="M133" s="2424"/>
      <c r="N133" s="2800"/>
      <c r="O133" s="2799">
        <f>SUM('[30]formato 12'!$Q$35:$W$35)</f>
        <v>87</v>
      </c>
      <c r="P133" s="2424"/>
      <c r="Q133" s="2800"/>
      <c r="R133" s="2799">
        <f>SUM('[30]formato 12'!$Q$36:$W$36)</f>
        <v>346</v>
      </c>
      <c r="S133" s="2424"/>
      <c r="T133" s="2800"/>
      <c r="U133" s="2801">
        <f t="shared" ref="U133:U134" si="11">L133*AT$131</f>
        <v>47845.65</v>
      </c>
      <c r="V133" s="2802"/>
      <c r="W133" s="2803"/>
      <c r="X133" s="2801">
        <f>O133*AS$131</f>
        <v>12874.259999999998</v>
      </c>
      <c r="Y133" s="2802"/>
      <c r="Z133" s="2803"/>
      <c r="AA133" s="2801">
        <f t="shared" ref="AA133" si="12">R133*AR$131</f>
        <v>51695.86</v>
      </c>
      <c r="AB133" s="2802"/>
      <c r="AC133" s="2803"/>
      <c r="AD133" s="2801">
        <f t="shared" ref="AD133:AD134" si="13">SUM(U133:AC133)</f>
        <v>112415.77</v>
      </c>
      <c r="AE133" s="2802"/>
      <c r="AF133" s="2802"/>
      <c r="AG133" s="2803"/>
      <c r="AH133" s="2804"/>
      <c r="AI133" s="2805"/>
      <c r="AJ133" s="2805"/>
      <c r="AK133" s="2805"/>
      <c r="AL133" s="2805"/>
      <c r="AM133" s="2805"/>
      <c r="AN133" s="1459"/>
      <c r="AO133" s="1455"/>
      <c r="AP133" s="1455"/>
    </row>
    <row r="134" spans="1:50">
      <c r="A134" s="1455"/>
      <c r="B134" s="1455"/>
      <c r="C134" s="1461"/>
      <c r="D134" s="2794">
        <v>4</v>
      </c>
      <c r="E134" s="2795"/>
      <c r="F134" s="2796">
        <f>+I133+1</f>
        <v>44522</v>
      </c>
      <c r="G134" s="2797"/>
      <c r="H134" s="2798"/>
      <c r="I134" s="2796">
        <f>+F134+6</f>
        <v>44528</v>
      </c>
      <c r="J134" s="2797"/>
      <c r="K134" s="2798"/>
      <c r="L134" s="2799">
        <f>SUM('[30]formato 12'!$X$34:$AD$34)</f>
        <v>420</v>
      </c>
      <c r="M134" s="2424"/>
      <c r="N134" s="2800"/>
      <c r="O134" s="2799">
        <f>SUM('[30]formato 12'!$X$35:$AD$35)</f>
        <v>91</v>
      </c>
      <c r="P134" s="2424"/>
      <c r="Q134" s="2800"/>
      <c r="R134" s="2799">
        <f>SUM('[30]formato 12'!$X$36:$AD$36)</f>
        <v>373</v>
      </c>
      <c r="S134" s="2424"/>
      <c r="T134" s="2800"/>
      <c r="U134" s="2801">
        <f t="shared" si="11"/>
        <v>46195.8</v>
      </c>
      <c r="V134" s="2802"/>
      <c r="W134" s="2803"/>
      <c r="X134" s="2801">
        <f>O134*AS$131</f>
        <v>13466.179999999998</v>
      </c>
      <c r="Y134" s="2802"/>
      <c r="Z134" s="2803"/>
      <c r="AA134" s="2801">
        <f>R134*AR$131</f>
        <v>55729.93</v>
      </c>
      <c r="AB134" s="2802"/>
      <c r="AC134" s="2803"/>
      <c r="AD134" s="2801">
        <f t="shared" si="13"/>
        <v>115391.91</v>
      </c>
      <c r="AE134" s="2802"/>
      <c r="AF134" s="2802"/>
      <c r="AG134" s="2803"/>
      <c r="AH134" s="2804"/>
      <c r="AI134" s="2805"/>
      <c r="AJ134" s="2805"/>
      <c r="AK134" s="2805"/>
      <c r="AL134" s="2805"/>
      <c r="AM134" s="2805"/>
      <c r="AN134" s="1459"/>
      <c r="AO134" s="1455"/>
      <c r="AP134" s="1455"/>
      <c r="AS134" s="1547">
        <v>-11057.279999999999</v>
      </c>
    </row>
    <row r="135" spans="1:50">
      <c r="A135" s="1455"/>
      <c r="B135" s="1455"/>
      <c r="C135" s="1461"/>
      <c r="D135" s="2794">
        <v>5</v>
      </c>
      <c r="E135" s="2795"/>
      <c r="F135" s="2796">
        <f>+I134+1</f>
        <v>44529</v>
      </c>
      <c r="G135" s="2797"/>
      <c r="H135" s="2798"/>
      <c r="I135" s="2796">
        <f>+F135+1</f>
        <v>44530</v>
      </c>
      <c r="J135" s="2797"/>
      <c r="K135" s="2798"/>
      <c r="L135" s="2799">
        <f>SUM('[30]formato 12'!$AE$34:$AF$34)</f>
        <v>122</v>
      </c>
      <c r="M135" s="2424"/>
      <c r="N135" s="2800"/>
      <c r="O135" s="2799">
        <f>SUM('[30]formato 12'!$AE$35:$AF$35)</f>
        <v>26</v>
      </c>
      <c r="P135" s="2424"/>
      <c r="Q135" s="2800"/>
      <c r="R135" s="2799">
        <f>SUM('[30]formato 12'!$AE$36:$AF$36)</f>
        <v>110</v>
      </c>
      <c r="S135" s="2424"/>
      <c r="T135" s="2800"/>
      <c r="U135" s="2801">
        <f>L135*AT$131</f>
        <v>13418.78</v>
      </c>
      <c r="V135" s="2802"/>
      <c r="W135" s="2803"/>
      <c r="X135" s="2801">
        <f>O135*AS$131</f>
        <v>3847.4799999999996</v>
      </c>
      <c r="Y135" s="2802"/>
      <c r="Z135" s="2803"/>
      <c r="AA135" s="2801">
        <f>R135*AR$131</f>
        <v>16435.099999999999</v>
      </c>
      <c r="AB135" s="2802"/>
      <c r="AC135" s="2803"/>
      <c r="AD135" s="2801">
        <f>SUM(U135:AC135)</f>
        <v>33701.360000000001</v>
      </c>
      <c r="AE135" s="2802"/>
      <c r="AF135" s="2802"/>
      <c r="AG135" s="2803"/>
      <c r="AH135" s="2804"/>
      <c r="AI135" s="2805"/>
      <c r="AJ135" s="2805"/>
      <c r="AK135" s="2805"/>
      <c r="AL135" s="2805"/>
      <c r="AM135" s="2805"/>
      <c r="AN135" s="1459"/>
      <c r="AO135" s="1455"/>
      <c r="AP135" s="1455"/>
      <c r="AQ135" s="1547"/>
    </row>
    <row r="136" spans="1:50">
      <c r="A136" s="1455"/>
      <c r="B136" s="1455"/>
      <c r="C136" s="1461"/>
      <c r="D136" s="2829"/>
      <c r="E136" s="2830"/>
      <c r="F136" s="2830"/>
      <c r="G136" s="2830"/>
      <c r="H136" s="2830"/>
      <c r="I136" s="2830"/>
      <c r="J136" s="2830"/>
      <c r="K136" s="2831"/>
      <c r="L136" s="2832">
        <f>SUM(L131:N135)</f>
        <v>1794</v>
      </c>
      <c r="M136" s="2833"/>
      <c r="N136" s="2834"/>
      <c r="O136" s="2832">
        <f t="shared" ref="O136" si="14">SUM(O131:Q135)</f>
        <v>388</v>
      </c>
      <c r="P136" s="2833"/>
      <c r="Q136" s="2834"/>
      <c r="R136" s="2832">
        <f t="shared" ref="R136" si="15">SUM(R131:T135)</f>
        <v>1501</v>
      </c>
      <c r="S136" s="2833"/>
      <c r="T136" s="2834"/>
      <c r="U136" s="2808">
        <f>SUM(U131:W135)</f>
        <v>197322.06000000003</v>
      </c>
      <c r="V136" s="2833"/>
      <c r="W136" s="2834"/>
      <c r="X136" s="2808">
        <f>SUM(X131:Z135)+30.56</f>
        <v>57446.8</v>
      </c>
      <c r="Y136" s="2809"/>
      <c r="Z136" s="2810"/>
      <c r="AA136" s="2808">
        <f>SUM(AA131:AC135)</f>
        <v>224264.41</v>
      </c>
      <c r="AB136" s="2809"/>
      <c r="AC136" s="2810"/>
      <c r="AD136" s="2811">
        <f>SUM(AD131:AG135)+139.14+5.81+61.27</f>
        <v>479208.93</v>
      </c>
      <c r="AE136" s="2812"/>
      <c r="AF136" s="2812"/>
      <c r="AG136" s="2813"/>
      <c r="AH136" s="1459"/>
      <c r="AI136" s="1459"/>
      <c r="AJ136" s="1459"/>
      <c r="AK136" s="1459"/>
      <c r="AL136" s="1459"/>
      <c r="AM136" s="1459"/>
      <c r="AN136" s="1459"/>
      <c r="AO136" s="1455"/>
      <c r="AP136" s="1455"/>
      <c r="AR136" s="1547"/>
      <c r="AS136" s="1466">
        <v>-3685.7599999999998</v>
      </c>
    </row>
    <row r="137" spans="1:50">
      <c r="A137" s="1491"/>
      <c r="B137" s="1491"/>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48"/>
      <c r="AI137" s="1348"/>
      <c r="AJ137" s="1348"/>
      <c r="AK137" s="1348"/>
      <c r="AL137" s="1348"/>
      <c r="AM137" s="1348"/>
      <c r="AN137" s="1348"/>
      <c r="AO137" s="1491"/>
      <c r="AP137" s="1491"/>
      <c r="AQ137" s="1547">
        <f>+AD136-AQ139</f>
        <v>0</v>
      </c>
    </row>
    <row r="138" spans="1:50" ht="15" customHeight="1">
      <c r="A138" s="1491"/>
      <c r="B138" s="1491"/>
      <c r="C138" s="2814" t="s">
        <v>1916</v>
      </c>
      <c r="D138" s="2815"/>
      <c r="E138" s="2815"/>
      <c r="F138" s="2816"/>
      <c r="G138" s="2820" t="s">
        <v>1917</v>
      </c>
      <c r="H138" s="2821"/>
      <c r="I138" s="2821"/>
      <c r="J138" s="2821"/>
      <c r="K138" s="2822"/>
      <c r="L138" s="2826" t="s">
        <v>1898</v>
      </c>
      <c r="M138" s="2827"/>
      <c r="N138" s="2827"/>
      <c r="O138" s="2827"/>
      <c r="P138" s="2827"/>
      <c r="Q138" s="2827"/>
      <c r="R138" s="2828"/>
      <c r="S138" s="2826" t="s">
        <v>1899</v>
      </c>
      <c r="T138" s="2827"/>
      <c r="U138" s="2827"/>
      <c r="V138" s="2827"/>
      <c r="W138" s="2827"/>
      <c r="X138" s="2827"/>
      <c r="Y138" s="2827"/>
      <c r="Z138" s="2828"/>
      <c r="AA138" s="2826" t="s">
        <v>1900</v>
      </c>
      <c r="AB138" s="2827"/>
      <c r="AC138" s="2827"/>
      <c r="AD138" s="2827"/>
      <c r="AE138" s="2827"/>
      <c r="AF138" s="2827"/>
      <c r="AG138" s="2827"/>
      <c r="AH138" s="2828"/>
      <c r="AI138" s="2826" t="s">
        <v>1901</v>
      </c>
      <c r="AJ138" s="2827"/>
      <c r="AK138" s="2827"/>
      <c r="AL138" s="2827"/>
      <c r="AM138" s="2827"/>
      <c r="AN138" s="2827"/>
      <c r="AO138" s="2828"/>
      <c r="AP138" s="1491"/>
      <c r="AS138" s="1466">
        <v>-4.2907566938300343</v>
      </c>
      <c r="AT138" s="1466">
        <f>+AS136/O136</f>
        <v>-9.4993814432989687</v>
      </c>
    </row>
    <row r="139" spans="1:50">
      <c r="A139" s="1491"/>
      <c r="B139" s="1491"/>
      <c r="C139" s="2817"/>
      <c r="D139" s="2818"/>
      <c r="E139" s="2818"/>
      <c r="F139" s="2819"/>
      <c r="G139" s="2823"/>
      <c r="H139" s="2824"/>
      <c r="I139" s="2824"/>
      <c r="J139" s="2824"/>
      <c r="K139" s="2825"/>
      <c r="L139" s="2826" t="s">
        <v>1</v>
      </c>
      <c r="M139" s="2827"/>
      <c r="N139" s="2827"/>
      <c r="O139" s="2827"/>
      <c r="P139" s="2828"/>
      <c r="Q139" s="2826" t="s">
        <v>0</v>
      </c>
      <c r="R139" s="2828"/>
      <c r="S139" s="2826" t="s">
        <v>1</v>
      </c>
      <c r="T139" s="2827"/>
      <c r="U139" s="2827"/>
      <c r="V139" s="2827"/>
      <c r="W139" s="2827"/>
      <c r="X139" s="2828"/>
      <c r="Y139" s="2826" t="s">
        <v>0</v>
      </c>
      <c r="Z139" s="2828"/>
      <c r="AA139" s="2826" t="s">
        <v>1</v>
      </c>
      <c r="AB139" s="2827"/>
      <c r="AC139" s="2827"/>
      <c r="AD139" s="2827"/>
      <c r="AE139" s="2827"/>
      <c r="AF139" s="2828"/>
      <c r="AG139" s="2826" t="s">
        <v>0</v>
      </c>
      <c r="AH139" s="2828"/>
      <c r="AI139" s="2826" t="s">
        <v>1</v>
      </c>
      <c r="AJ139" s="2827"/>
      <c r="AK139" s="2827"/>
      <c r="AL139" s="2827"/>
      <c r="AM139" s="2828"/>
      <c r="AN139" s="2826" t="s">
        <v>0</v>
      </c>
      <c r="AO139" s="2828"/>
      <c r="AP139" s="2195"/>
      <c r="AQ139" s="1547">
        <f>+S141</f>
        <v>479208.93</v>
      </c>
    </row>
    <row r="140" spans="1:50">
      <c r="A140" s="1491"/>
      <c r="B140" s="1491"/>
      <c r="C140" s="2826" t="s">
        <v>1902</v>
      </c>
      <c r="D140" s="2827"/>
      <c r="E140" s="2827"/>
      <c r="F140" s="2828"/>
      <c r="G140" s="2868">
        <f>5159712.42+613460.84+2529.34+270916.85+1174797.88+1075396.96+261223.45</f>
        <v>8558037.7399999984</v>
      </c>
      <c r="H140" s="2868"/>
      <c r="I140" s="2868"/>
      <c r="J140" s="2868"/>
      <c r="K140" s="2868"/>
      <c r="L140" s="2599"/>
      <c r="M140" s="2597"/>
      <c r="N140" s="2597"/>
      <c r="O140" s="2597"/>
      <c r="P140" s="2598"/>
      <c r="Q140" s="2600"/>
      <c r="R140" s="2601"/>
      <c r="S140" s="2599"/>
      <c r="T140" s="2597"/>
      <c r="U140" s="2597"/>
      <c r="V140" s="2597"/>
      <c r="W140" s="2597"/>
      <c r="X140" s="2598"/>
      <c r="Y140" s="2600"/>
      <c r="Z140" s="2601"/>
      <c r="AA140" s="2599"/>
      <c r="AB140" s="2597"/>
      <c r="AC140" s="2597"/>
      <c r="AD140" s="2597"/>
      <c r="AE140" s="2597"/>
      <c r="AF140" s="2598"/>
      <c r="AG140" s="2600"/>
      <c r="AH140" s="2601"/>
      <c r="AI140" s="2599"/>
      <c r="AJ140" s="2597"/>
      <c r="AK140" s="2597"/>
      <c r="AL140" s="2597"/>
      <c r="AM140" s="2598"/>
      <c r="AN140" s="2600"/>
      <c r="AO140" s="2601"/>
      <c r="AP140" s="1491"/>
      <c r="AT140" s="1466">
        <f>+AS136/R136</f>
        <v>-2.4555363091272482</v>
      </c>
    </row>
    <row r="141" spans="1:50">
      <c r="A141" s="1491"/>
      <c r="B141" s="1491"/>
      <c r="C141" s="2826" t="s">
        <v>1903</v>
      </c>
      <c r="D141" s="2827"/>
      <c r="E141" s="2827"/>
      <c r="F141" s="2828"/>
      <c r="G141" s="2246"/>
      <c r="H141" s="2247"/>
      <c r="I141" s="2247"/>
      <c r="J141" s="2247"/>
      <c r="K141" s="2248"/>
      <c r="L141" s="2599">
        <f>+'[30]F6 NOVIEMBRE'!$G$70</f>
        <v>6019117.0700000003</v>
      </c>
      <c r="M141" s="2597"/>
      <c r="N141" s="2597"/>
      <c r="O141" s="2597"/>
      <c r="P141" s="2598"/>
      <c r="Q141" s="2600">
        <f>L141/G$140</f>
        <v>0.70332911034813939</v>
      </c>
      <c r="R141" s="2601"/>
      <c r="S141" s="2618">
        <f>+'[30]F6 NOVIEMBRE'!$R$15</f>
        <v>479208.93</v>
      </c>
      <c r="T141" s="2619"/>
      <c r="U141" s="2619"/>
      <c r="V141" s="2619"/>
      <c r="W141" s="2619"/>
      <c r="X141" s="2622"/>
      <c r="Y141" s="2600">
        <f>S141/G140</f>
        <v>5.5995187747325835E-2</v>
      </c>
      <c r="Z141" s="2601"/>
      <c r="AA141" s="2599">
        <f>SUM(L141,S141)</f>
        <v>6498326</v>
      </c>
      <c r="AB141" s="2597"/>
      <c r="AC141" s="2597"/>
      <c r="AD141" s="2597"/>
      <c r="AE141" s="2597"/>
      <c r="AF141" s="2598"/>
      <c r="AG141" s="2600">
        <f>AA141/G140</f>
        <v>0.7593242980954652</v>
      </c>
      <c r="AH141" s="2601"/>
      <c r="AI141" s="2599">
        <f>G140-AA141</f>
        <v>2059711.7399999984</v>
      </c>
      <c r="AJ141" s="2597"/>
      <c r="AK141" s="2597"/>
      <c r="AL141" s="2597"/>
      <c r="AM141" s="2598"/>
      <c r="AN141" s="2600">
        <f>AI141/G140</f>
        <v>0.2406757019045348</v>
      </c>
      <c r="AO141" s="2601"/>
      <c r="AP141" s="2194" t="e">
        <f>+S141/S89</f>
        <v>#REF!</v>
      </c>
      <c r="AQ141" s="1547">
        <f>+'[29]F6 OCTUBRE'!$Q$15</f>
        <v>229164.22</v>
      </c>
    </row>
    <row r="142" spans="1:50">
      <c r="A142" s="1491"/>
      <c r="B142" s="1491"/>
      <c r="C142" s="784"/>
      <c r="D142" s="784"/>
      <c r="E142" s="784"/>
      <c r="F142" s="784"/>
      <c r="G142" s="1403"/>
      <c r="H142" s="1403"/>
      <c r="I142" s="1403"/>
      <c r="J142" s="1403"/>
      <c r="K142" s="1403"/>
      <c r="L142" s="1404"/>
      <c r="M142" s="1404"/>
      <c r="N142" s="1404"/>
      <c r="O142" s="1404"/>
      <c r="P142" s="1404"/>
      <c r="Q142" s="1409"/>
      <c r="R142" s="1403"/>
      <c r="S142" s="1404"/>
      <c r="T142" s="1404"/>
      <c r="U142" s="1404"/>
      <c r="V142" s="1410"/>
      <c r="W142" s="1404"/>
      <c r="X142" s="2661"/>
      <c r="Y142" s="2661"/>
      <c r="Z142" s="2661"/>
      <c r="AA142" s="1404"/>
      <c r="AB142" s="1404"/>
      <c r="AC142" s="1404"/>
      <c r="AD142" s="1404"/>
      <c r="AE142" s="1404"/>
      <c r="AF142" s="1404"/>
      <c r="AG142" s="1409"/>
      <c r="AH142" s="1409"/>
      <c r="AI142" s="1404"/>
      <c r="AJ142" s="770"/>
      <c r="AK142" s="770"/>
      <c r="AL142" s="770"/>
      <c r="AM142" s="770"/>
      <c r="AN142" s="1409"/>
      <c r="AO142" s="1409"/>
      <c r="AP142" s="1491"/>
    </row>
    <row r="143" spans="1:50" ht="15" thickBot="1">
      <c r="A143" s="1491"/>
      <c r="B143" s="1491"/>
      <c r="C143" s="783"/>
      <c r="D143" s="2835"/>
      <c r="E143" s="2835"/>
      <c r="F143" s="2835"/>
      <c r="G143" s="2835"/>
      <c r="H143" s="2835"/>
      <c r="I143" s="2835"/>
      <c r="J143" s="2835"/>
      <c r="K143" s="2835"/>
      <c r="L143" s="2835"/>
      <c r="M143" s="2835"/>
      <c r="N143" s="2835"/>
      <c r="O143" s="2835"/>
      <c r="P143" s="2835"/>
      <c r="Q143" s="2835"/>
      <c r="R143" s="2835"/>
      <c r="S143" s="2835"/>
      <c r="T143" s="2835"/>
      <c r="U143" s="2835"/>
      <c r="V143" s="2835"/>
      <c r="W143" s="2835"/>
      <c r="X143" s="2835"/>
      <c r="Y143" s="2835"/>
      <c r="Z143" s="2835"/>
      <c r="AA143" s="2835"/>
      <c r="AB143" s="2835"/>
      <c r="AC143" s="2835"/>
      <c r="AD143" s="2835"/>
      <c r="AE143" s="2835"/>
      <c r="AF143" s="2835"/>
      <c r="AG143" s="2835"/>
      <c r="AH143" s="2835"/>
      <c r="AI143" s="2835"/>
      <c r="AJ143" s="2835"/>
      <c r="AK143" s="2835"/>
      <c r="AL143" s="2835"/>
      <c r="AM143" s="2835"/>
      <c r="AN143" s="2835"/>
      <c r="AO143" s="2836"/>
      <c r="AP143" s="1491"/>
      <c r="AQ143" s="1466">
        <v>1</v>
      </c>
      <c r="AR143" s="1466">
        <v>2</v>
      </c>
      <c r="AS143" s="1466">
        <v>3</v>
      </c>
      <c r="AT143" s="1466">
        <v>4</v>
      </c>
      <c r="AU143" s="1466">
        <v>5</v>
      </c>
      <c r="AV143" s="1466">
        <v>6</v>
      </c>
      <c r="AW143" s="1466">
        <v>7</v>
      </c>
      <c r="AX143" s="1466">
        <v>8</v>
      </c>
    </row>
    <row r="144" spans="1:50" ht="28.5" customHeight="1">
      <c r="A144" s="2230"/>
      <c r="B144" s="2230"/>
      <c r="C144" s="783"/>
      <c r="D144" s="2239"/>
      <c r="E144" s="2239"/>
      <c r="F144" s="2239"/>
      <c r="G144" s="2239"/>
      <c r="H144" s="2239"/>
      <c r="I144" s="2239"/>
      <c r="J144" s="2239"/>
      <c r="K144" s="2239"/>
      <c r="L144" s="2239"/>
      <c r="M144" s="2239"/>
      <c r="N144" s="2239"/>
      <c r="O144" s="2239"/>
      <c r="P144" s="2239"/>
      <c r="Q144" s="2239"/>
      <c r="R144" s="2239"/>
      <c r="S144" s="2239"/>
      <c r="T144" s="2239"/>
      <c r="U144" s="2239"/>
      <c r="V144" s="2239"/>
      <c r="W144" s="2239"/>
      <c r="X144" s="2239"/>
      <c r="Y144" s="2239"/>
      <c r="Z144" s="2239"/>
      <c r="AA144" s="2239"/>
      <c r="AB144" s="2239"/>
      <c r="AC144" s="2239"/>
      <c r="AD144" s="2239"/>
      <c r="AE144" s="2239"/>
      <c r="AF144" s="2239"/>
      <c r="AG144" s="2239"/>
      <c r="AH144" s="2239"/>
      <c r="AI144" s="2239"/>
      <c r="AJ144" s="2239"/>
      <c r="AK144" s="2239"/>
      <c r="AL144" s="2239"/>
      <c r="AM144" s="2239"/>
      <c r="AN144" s="2239"/>
      <c r="AO144" s="2239"/>
      <c r="AP144" s="2230"/>
      <c r="AQ144" s="1547">
        <f>+S141-AD136</f>
        <v>0</v>
      </c>
    </row>
    <row r="145" spans="1:51" ht="25.8" customHeight="1">
      <c r="A145" s="1491"/>
      <c r="B145" s="1491"/>
      <c r="C145" s="783"/>
      <c r="D145" s="1150"/>
      <c r="E145" s="1150"/>
      <c r="F145" s="1150"/>
      <c r="G145" s="1150"/>
      <c r="H145" s="1150"/>
      <c r="I145" s="1150"/>
      <c r="J145" s="1150"/>
      <c r="K145" s="1150"/>
      <c r="L145" s="1150"/>
      <c r="M145" s="1150"/>
      <c r="N145" s="1150"/>
      <c r="O145" s="1150"/>
      <c r="P145" s="1150"/>
      <c r="Q145" s="1150"/>
      <c r="R145" s="1150"/>
      <c r="S145" s="1150"/>
      <c r="T145" s="1150"/>
      <c r="U145" s="1150"/>
      <c r="V145" s="1150"/>
      <c r="W145" s="1150"/>
      <c r="X145" s="1150"/>
      <c r="Y145" s="1150"/>
      <c r="Z145" s="1150"/>
      <c r="AA145" s="1150"/>
      <c r="AB145" s="1150"/>
      <c r="AC145" s="1150"/>
      <c r="AD145" s="1150"/>
      <c r="AE145" s="1150"/>
      <c r="AF145" s="1150"/>
      <c r="AG145" s="1150"/>
      <c r="AH145" s="1150"/>
      <c r="AI145" s="1150"/>
      <c r="AJ145" s="1150"/>
      <c r="AK145" s="1150"/>
      <c r="AL145" s="1150"/>
      <c r="AM145" s="1150"/>
      <c r="AN145" s="1150"/>
      <c r="AO145" s="1150"/>
      <c r="AP145" s="1491"/>
    </row>
    <row r="146" spans="1:51" ht="17.25" customHeight="1">
      <c r="A146" s="1455"/>
      <c r="B146" s="1464" t="s">
        <v>1918</v>
      </c>
      <c r="C146" s="1461"/>
      <c r="D146" s="1536"/>
      <c r="E146" s="1536"/>
      <c r="F146" s="1536"/>
      <c r="G146" s="1536"/>
      <c r="H146" s="1536"/>
      <c r="I146" s="1536"/>
      <c r="J146" s="1536"/>
      <c r="K146" s="1536"/>
      <c r="L146" s="1536"/>
      <c r="M146" s="1536"/>
      <c r="N146" s="1536"/>
      <c r="O146" s="1536"/>
      <c r="P146" s="1536"/>
      <c r="Q146" s="1536"/>
      <c r="R146" s="1536"/>
      <c r="S146" s="1536"/>
      <c r="T146" s="1536"/>
      <c r="U146" s="1536"/>
      <c r="V146" s="1536"/>
      <c r="W146" s="1536"/>
      <c r="X146" s="1536"/>
      <c r="Y146" s="1536"/>
      <c r="Z146" s="1536"/>
      <c r="AA146" s="1536"/>
      <c r="AB146" s="1536"/>
      <c r="AC146" s="1536"/>
      <c r="AD146" s="1536"/>
      <c r="AE146" s="1536"/>
      <c r="AF146" s="1536"/>
      <c r="AG146" s="1536"/>
      <c r="AH146" s="1536"/>
      <c r="AI146" s="1536"/>
      <c r="AJ146" s="1536"/>
      <c r="AK146" s="1536"/>
      <c r="AL146" s="1536"/>
      <c r="AM146" s="1536"/>
      <c r="AN146" s="1536"/>
      <c r="AO146" s="1536"/>
      <c r="AP146" s="1491"/>
      <c r="AQ146" s="1548">
        <f>+G140*0.15</f>
        <v>1283705.6609999996</v>
      </c>
      <c r="AR146" s="1548">
        <f>+G140*0.15</f>
        <v>1283705.6609999996</v>
      </c>
      <c r="AS146" s="1548">
        <f>+G140*0.15</f>
        <v>1283705.6609999996</v>
      </c>
      <c r="AT146" s="1548">
        <f>+G140*0.15</f>
        <v>1283705.6609999996</v>
      </c>
      <c r="AU146" s="1548">
        <f>+G140*0.1</f>
        <v>855803.77399999986</v>
      </c>
      <c r="AV146" s="1548">
        <f>+$G$140*0.1</f>
        <v>855803.77399999986</v>
      </c>
      <c r="AW146" s="1548">
        <f>+$G$140*0.1</f>
        <v>855803.77399999986</v>
      </c>
      <c r="AX146" s="1548">
        <f>+$G$140*0.1</f>
        <v>855803.77399999986</v>
      </c>
      <c r="AY146" s="1543">
        <f>SUM(AQ146:AX146)</f>
        <v>8558037.7399999984</v>
      </c>
    </row>
    <row r="147" spans="1:51" ht="328.8" customHeight="1">
      <c r="A147" s="1455"/>
      <c r="B147" s="1455"/>
      <c r="C147" s="2837" t="s">
        <v>4369</v>
      </c>
      <c r="D147" s="2837"/>
      <c r="E147" s="2837"/>
      <c r="F147" s="2837"/>
      <c r="G147" s="2837"/>
      <c r="H147" s="2837"/>
      <c r="I147" s="2837"/>
      <c r="J147" s="2837"/>
      <c r="K147" s="2837"/>
      <c r="L147" s="2837"/>
      <c r="M147" s="2837"/>
      <c r="N147" s="2837"/>
      <c r="O147" s="2837"/>
      <c r="P147" s="2837"/>
      <c r="Q147" s="2837"/>
      <c r="R147" s="2837"/>
      <c r="S147" s="2837"/>
      <c r="T147" s="2837"/>
      <c r="U147" s="2837"/>
      <c r="V147" s="2837"/>
      <c r="W147" s="2837"/>
      <c r="X147" s="2837"/>
      <c r="Y147" s="2837"/>
      <c r="Z147" s="2837"/>
      <c r="AA147" s="2837"/>
      <c r="AB147" s="2837"/>
      <c r="AC147" s="2837"/>
      <c r="AD147" s="2837"/>
      <c r="AE147" s="2837"/>
      <c r="AF147" s="2837"/>
      <c r="AG147" s="2837"/>
      <c r="AH147" s="2837"/>
      <c r="AI147" s="2837"/>
      <c r="AJ147" s="2837"/>
      <c r="AK147" s="2837"/>
      <c r="AL147" s="2837"/>
      <c r="AM147" s="2837"/>
      <c r="AN147" s="2837"/>
      <c r="AO147" s="2837"/>
      <c r="AP147" s="1491"/>
    </row>
    <row r="148" spans="1:51">
      <c r="A148" s="1455"/>
      <c r="B148" s="1464" t="s">
        <v>1919</v>
      </c>
      <c r="C148" s="1461"/>
      <c r="D148" s="1536"/>
      <c r="E148" s="1536"/>
      <c r="F148" s="1536"/>
      <c r="G148" s="1536"/>
      <c r="H148" s="1536"/>
      <c r="I148" s="1536"/>
      <c r="J148" s="1536"/>
      <c r="K148" s="1536"/>
      <c r="L148" s="1536"/>
      <c r="M148" s="1536"/>
      <c r="N148" s="1536"/>
      <c r="O148" s="1536"/>
      <c r="P148" s="1536"/>
      <c r="Q148" s="1536"/>
      <c r="R148" s="1536"/>
      <c r="S148" s="1536"/>
      <c r="T148" s="1536"/>
      <c r="U148" s="1536"/>
      <c r="V148" s="1536"/>
      <c r="W148" s="1536"/>
      <c r="X148" s="1536"/>
      <c r="Y148" s="1536"/>
      <c r="Z148" s="1536"/>
      <c r="AA148" s="1536"/>
      <c r="AB148" s="1536"/>
      <c r="AC148" s="1536"/>
      <c r="AD148" s="1536"/>
      <c r="AE148" s="1536"/>
      <c r="AF148" s="1536"/>
      <c r="AG148" s="1536"/>
      <c r="AH148" s="1536"/>
      <c r="AI148" s="1536"/>
      <c r="AJ148" s="1536"/>
      <c r="AK148" s="1536"/>
      <c r="AL148" s="1536"/>
      <c r="AM148" s="1536"/>
      <c r="AN148" s="1536"/>
      <c r="AO148" s="1536"/>
      <c r="AP148" s="1455"/>
    </row>
    <row r="149" spans="1:51" ht="15" thickBot="1">
      <c r="A149" s="1455"/>
      <c r="B149" s="1455"/>
      <c r="C149" s="1464" t="s">
        <v>2182</v>
      </c>
      <c r="D149" s="1455"/>
      <c r="E149" s="1455"/>
      <c r="F149" s="1455"/>
      <c r="G149" s="1455"/>
      <c r="H149" s="1455"/>
      <c r="I149" s="1455"/>
      <c r="J149" s="1455"/>
      <c r="K149" s="1455"/>
      <c r="L149" s="1455"/>
      <c r="M149" s="1455"/>
      <c r="N149" s="1455"/>
      <c r="O149" s="1455"/>
      <c r="P149" s="1455"/>
      <c r="Q149" s="1455"/>
      <c r="R149" s="1455"/>
      <c r="S149" s="1455"/>
      <c r="T149" s="1455"/>
      <c r="U149" s="1455"/>
      <c r="V149" s="1455"/>
      <c r="W149" s="1455"/>
      <c r="X149" s="1455"/>
      <c r="Y149" s="1455"/>
      <c r="Z149" s="1455"/>
      <c r="AA149" s="1455"/>
      <c r="AB149" s="1536"/>
      <c r="AC149" s="1536"/>
      <c r="AD149" s="1536"/>
      <c r="AE149" s="1536"/>
      <c r="AF149" s="1536"/>
      <c r="AG149" s="1536"/>
      <c r="AH149" s="1536"/>
      <c r="AI149" s="1536"/>
      <c r="AJ149" s="1536"/>
      <c r="AK149" s="1536"/>
      <c r="AL149" s="1536"/>
      <c r="AM149" s="1536"/>
      <c r="AN149" s="1536"/>
      <c r="AO149" s="1536"/>
      <c r="AP149" s="1455"/>
    </row>
    <row r="150" spans="1:51" ht="15" thickBot="1">
      <c r="A150" s="1455"/>
      <c r="B150" s="1455"/>
      <c r="C150" s="1455"/>
      <c r="D150" s="1455"/>
      <c r="E150" s="1455"/>
      <c r="F150" s="1455"/>
      <c r="G150" s="1455"/>
      <c r="H150" s="1455"/>
      <c r="I150" s="1455"/>
      <c r="J150" s="1455"/>
      <c r="K150" s="1455"/>
      <c r="L150" s="2846" t="s">
        <v>4338</v>
      </c>
      <c r="M150" s="2847"/>
      <c r="N150" s="2847"/>
      <c r="O150" s="2847"/>
      <c r="P150" s="2847"/>
      <c r="Q150" s="2847"/>
      <c r="R150" s="2847"/>
      <c r="S150" s="2847"/>
      <c r="T150" s="2847"/>
      <c r="U150" s="2847"/>
      <c r="V150" s="2847"/>
      <c r="W150" s="2847"/>
      <c r="X150" s="2847"/>
      <c r="Y150" s="2847"/>
      <c r="Z150" s="2847"/>
      <c r="AA150" s="2847"/>
      <c r="AB150" s="2848" t="s">
        <v>3652</v>
      </c>
      <c r="AC150" s="2849"/>
      <c r="AD150" s="2849"/>
      <c r="AE150" s="2850"/>
      <c r="AF150" s="1536"/>
      <c r="AG150" s="1536"/>
      <c r="AH150" s="1536"/>
      <c r="AI150" s="1536"/>
      <c r="AJ150" s="1536"/>
      <c r="AK150" s="1536"/>
      <c r="AL150" s="1536"/>
      <c r="AM150" s="1536"/>
      <c r="AN150" s="1536"/>
      <c r="AO150" s="1536"/>
      <c r="AP150" s="1455"/>
    </row>
    <row r="151" spans="1:51" ht="15" thickBot="1">
      <c r="A151" s="1455"/>
      <c r="B151" s="1455"/>
      <c r="C151" s="1455"/>
      <c r="D151" s="1455"/>
      <c r="E151" s="1455"/>
      <c r="F151" s="1455"/>
      <c r="G151" s="1455"/>
      <c r="H151" s="1455"/>
      <c r="I151" s="1455"/>
      <c r="J151" s="1455"/>
      <c r="K151" s="1455"/>
      <c r="L151" s="2854" t="s">
        <v>1920</v>
      </c>
      <c r="M151" s="2855"/>
      <c r="N151" s="2855"/>
      <c r="O151" s="2855"/>
      <c r="P151" s="2855"/>
      <c r="Q151" s="2855"/>
      <c r="R151" s="2855"/>
      <c r="S151" s="2856"/>
      <c r="T151" s="2857" t="s">
        <v>1921</v>
      </c>
      <c r="U151" s="2855"/>
      <c r="V151" s="2855"/>
      <c r="W151" s="2855"/>
      <c r="X151" s="2855"/>
      <c r="Y151" s="2855"/>
      <c r="Z151" s="2855"/>
      <c r="AA151" s="2855"/>
      <c r="AB151" s="2851"/>
      <c r="AC151" s="2852"/>
      <c r="AD151" s="2852"/>
      <c r="AE151" s="2853"/>
      <c r="AF151" s="1536"/>
      <c r="AG151" s="1536"/>
      <c r="AH151" s="1536"/>
      <c r="AI151" s="1536"/>
      <c r="AJ151" s="1536"/>
      <c r="AK151" s="1536"/>
      <c r="AL151" s="1536"/>
      <c r="AM151" s="1536"/>
      <c r="AN151" s="1536"/>
      <c r="AO151" s="1536"/>
      <c r="AP151" s="1455"/>
    </row>
    <row r="152" spans="1:51">
      <c r="A152" s="1455"/>
      <c r="B152" s="1455"/>
      <c r="C152" s="1455"/>
      <c r="D152" s="1455"/>
      <c r="E152" s="1455"/>
      <c r="F152" s="2858" t="s">
        <v>3582</v>
      </c>
      <c r="G152" s="2859"/>
      <c r="H152" s="2859"/>
      <c r="I152" s="2859"/>
      <c r="J152" s="2859"/>
      <c r="K152" s="2860"/>
      <c r="L152" s="2861" t="s">
        <v>3611</v>
      </c>
      <c r="M152" s="2862"/>
      <c r="N152" s="2862"/>
      <c r="O152" s="2862"/>
      <c r="P152" s="2862"/>
      <c r="Q152" s="2862"/>
      <c r="R152" s="2862"/>
      <c r="S152" s="2863"/>
      <c r="T152" s="2864" t="s">
        <v>3615</v>
      </c>
      <c r="U152" s="2862"/>
      <c r="V152" s="2862"/>
      <c r="W152" s="2862"/>
      <c r="X152" s="2862"/>
      <c r="Y152" s="2862"/>
      <c r="Z152" s="2862"/>
      <c r="AA152" s="2862"/>
      <c r="AB152" s="2844" t="s">
        <v>3653</v>
      </c>
      <c r="AC152" s="2844"/>
      <c r="AD152" s="2844"/>
      <c r="AE152" s="2844"/>
      <c r="AF152" s="1536"/>
      <c r="AG152" s="1536"/>
      <c r="AH152" s="1536"/>
      <c r="AI152" s="1536"/>
      <c r="AJ152" s="1536"/>
      <c r="AK152" s="1536"/>
      <c r="AL152" s="1536"/>
      <c r="AM152" s="1536"/>
      <c r="AN152" s="1536"/>
      <c r="AO152" s="1536"/>
      <c r="AP152" s="1455"/>
    </row>
    <row r="153" spans="1:51">
      <c r="A153" s="1455"/>
      <c r="B153" s="1455"/>
      <c r="C153" s="1455"/>
      <c r="D153" s="1455"/>
      <c r="E153" s="1455"/>
      <c r="F153" s="2838" t="s">
        <v>3582</v>
      </c>
      <c r="G153" s="2839"/>
      <c r="H153" s="2839"/>
      <c r="I153" s="2839"/>
      <c r="J153" s="2839"/>
      <c r="K153" s="2840"/>
      <c r="L153" s="2841" t="s">
        <v>3580</v>
      </c>
      <c r="M153" s="2842"/>
      <c r="N153" s="2842"/>
      <c r="O153" s="2842"/>
      <c r="P153" s="2842"/>
      <c r="Q153" s="2842"/>
      <c r="R153" s="2842"/>
      <c r="S153" s="2843"/>
      <c r="T153" s="2437" t="s">
        <v>3581</v>
      </c>
      <c r="U153" s="2435"/>
      <c r="V153" s="2435"/>
      <c r="W153" s="2435"/>
      <c r="X153" s="2435"/>
      <c r="Y153" s="2435"/>
      <c r="Z153" s="2435"/>
      <c r="AA153" s="2435"/>
      <c r="AB153" s="2844" t="s">
        <v>3654</v>
      </c>
      <c r="AC153" s="2844"/>
      <c r="AD153" s="2844"/>
      <c r="AE153" s="2844"/>
      <c r="AF153" s="1536"/>
      <c r="AG153" s="1536"/>
      <c r="AH153" s="1536"/>
      <c r="AI153" s="1536"/>
      <c r="AJ153" s="1536"/>
      <c r="AK153" s="1536"/>
      <c r="AL153" s="1536"/>
      <c r="AM153" s="1536"/>
      <c r="AN153" s="1536"/>
      <c r="AO153" s="1536"/>
      <c r="AP153" s="1455"/>
    </row>
    <row r="154" spans="1:51">
      <c r="A154" s="1455"/>
      <c r="B154" s="1455"/>
      <c r="C154" s="1455"/>
      <c r="D154" s="1455"/>
      <c r="E154" s="1455"/>
      <c r="F154" s="2838" t="s">
        <v>3583</v>
      </c>
      <c r="G154" s="2839"/>
      <c r="H154" s="2839"/>
      <c r="I154" s="2839"/>
      <c r="J154" s="2839"/>
      <c r="K154" s="2845"/>
      <c r="L154" s="2841" t="s">
        <v>3613</v>
      </c>
      <c r="M154" s="2842"/>
      <c r="N154" s="2842"/>
      <c r="O154" s="2842"/>
      <c r="P154" s="2842"/>
      <c r="Q154" s="2842"/>
      <c r="R154" s="2842"/>
      <c r="S154" s="2843"/>
      <c r="T154" s="2437" t="s">
        <v>3612</v>
      </c>
      <c r="U154" s="2432"/>
      <c r="V154" s="2432"/>
      <c r="W154" s="2432"/>
      <c r="X154" s="2432"/>
      <c r="Y154" s="2432"/>
      <c r="Z154" s="2432"/>
      <c r="AA154" s="2432"/>
      <c r="AB154" s="2844" t="s">
        <v>3654</v>
      </c>
      <c r="AC154" s="2844"/>
      <c r="AD154" s="2844"/>
      <c r="AE154" s="2844"/>
      <c r="AF154" s="1536"/>
      <c r="AG154" s="1536"/>
      <c r="AH154" s="1536"/>
      <c r="AI154" s="1536"/>
      <c r="AJ154" s="1536"/>
      <c r="AK154" s="1536"/>
      <c r="AL154" s="1536"/>
      <c r="AM154" s="1536"/>
      <c r="AN154" s="1536"/>
      <c r="AO154" s="1536"/>
      <c r="AP154" s="1455"/>
    </row>
    <row r="155" spans="1:51">
      <c r="A155" s="1455"/>
      <c r="B155" s="1455"/>
      <c r="C155" s="1455"/>
      <c r="D155" s="1455"/>
      <c r="E155" s="1455"/>
      <c r="F155" s="2838" t="s">
        <v>3583</v>
      </c>
      <c r="G155" s="2839"/>
      <c r="H155" s="2839"/>
      <c r="I155" s="2839"/>
      <c r="J155" s="2839"/>
      <c r="K155" s="2840"/>
      <c r="L155" s="2865" t="s">
        <v>3610</v>
      </c>
      <c r="M155" s="2866"/>
      <c r="N155" s="2866"/>
      <c r="O155" s="2866"/>
      <c r="P155" s="2866"/>
      <c r="Q155" s="2866"/>
      <c r="R155" s="2866"/>
      <c r="S155" s="2867"/>
      <c r="T155" s="2437" t="s">
        <v>3614</v>
      </c>
      <c r="U155" s="2432"/>
      <c r="V155" s="2432"/>
      <c r="W155" s="2432"/>
      <c r="X155" s="2432"/>
      <c r="Y155" s="2432"/>
      <c r="Z155" s="2432"/>
      <c r="AA155" s="2432"/>
      <c r="AB155" s="2844" t="s">
        <v>3656</v>
      </c>
      <c r="AC155" s="2844"/>
      <c r="AD155" s="2844"/>
      <c r="AE155" s="2844"/>
      <c r="AF155" s="1536"/>
      <c r="AG155" s="1536"/>
      <c r="AH155" s="1536"/>
      <c r="AI155" s="1536"/>
      <c r="AJ155" s="1536"/>
      <c r="AK155" s="1536"/>
      <c r="AL155" s="1536"/>
      <c r="AM155" s="1536"/>
      <c r="AN155" s="1536"/>
      <c r="AO155" s="1536"/>
      <c r="AP155" s="1455"/>
    </row>
    <row r="156" spans="1:51">
      <c r="A156" s="1455"/>
      <c r="B156" s="1455"/>
      <c r="C156" s="1455"/>
      <c r="D156" s="1455"/>
      <c r="E156" s="1455"/>
      <c r="F156" s="2838" t="s">
        <v>3583</v>
      </c>
      <c r="G156" s="2839"/>
      <c r="H156" s="2839"/>
      <c r="I156" s="2839"/>
      <c r="J156" s="2839"/>
      <c r="K156" s="2840"/>
      <c r="L156" s="2426" t="s">
        <v>3655</v>
      </c>
      <c r="M156" s="2427"/>
      <c r="N156" s="2427"/>
      <c r="O156" s="2427"/>
      <c r="P156" s="2427"/>
      <c r="Q156" s="2427"/>
      <c r="R156" s="2427"/>
      <c r="S156" s="2428"/>
      <c r="T156" s="2437" t="s">
        <v>3581</v>
      </c>
      <c r="U156" s="2432"/>
      <c r="V156" s="2432"/>
      <c r="W156" s="2432"/>
      <c r="X156" s="2432"/>
      <c r="Y156" s="2432"/>
      <c r="Z156" s="2432"/>
      <c r="AA156" s="2432"/>
      <c r="AB156" s="2844" t="s">
        <v>3683</v>
      </c>
      <c r="AC156" s="2844"/>
      <c r="AD156" s="2844"/>
      <c r="AE156" s="2844"/>
      <c r="AF156" s="1536"/>
      <c r="AG156" s="1536"/>
      <c r="AH156" s="1536"/>
      <c r="AI156" s="1536"/>
      <c r="AJ156" s="1536"/>
      <c r="AK156" s="1536"/>
      <c r="AL156" s="1536"/>
      <c r="AM156" s="1536"/>
      <c r="AN156" s="1536"/>
      <c r="AO156" s="1536"/>
      <c r="AP156" s="1455"/>
    </row>
    <row r="157" spans="1:51">
      <c r="A157" s="1455"/>
      <c r="B157" s="1455"/>
      <c r="C157" s="1455"/>
      <c r="D157" s="1455"/>
      <c r="E157" s="1455"/>
      <c r="F157" s="2838" t="s">
        <v>3609</v>
      </c>
      <c r="G157" s="2839"/>
      <c r="H157" s="2839"/>
      <c r="I157" s="2839"/>
      <c r="J157" s="2839"/>
      <c r="K157" s="2840"/>
      <c r="L157" s="2426" t="s">
        <v>3584</v>
      </c>
      <c r="M157" s="2427"/>
      <c r="N157" s="2427"/>
      <c r="O157" s="2427"/>
      <c r="P157" s="2427"/>
      <c r="Q157" s="2427"/>
      <c r="R157" s="2427"/>
      <c r="S157" s="2428"/>
      <c r="T157" s="2437" t="s">
        <v>3657</v>
      </c>
      <c r="U157" s="2432"/>
      <c r="V157" s="2432"/>
      <c r="W157" s="2432"/>
      <c r="X157" s="2432"/>
      <c r="Y157" s="2432"/>
      <c r="Z157" s="2432"/>
      <c r="AA157" s="2432"/>
      <c r="AB157" s="2844" t="s">
        <v>3683</v>
      </c>
      <c r="AC157" s="2844"/>
      <c r="AD157" s="2844"/>
      <c r="AE157" s="2844"/>
      <c r="AF157" s="1536"/>
      <c r="AG157" s="1536"/>
      <c r="AH157" s="1536"/>
      <c r="AI157" s="1536"/>
      <c r="AJ157" s="1536"/>
      <c r="AK157" s="1536"/>
      <c r="AL157" s="1536"/>
      <c r="AM157" s="1536"/>
      <c r="AN157" s="1536"/>
      <c r="AO157" s="1536"/>
      <c r="AP157" s="1455"/>
    </row>
    <row r="158" spans="1:51">
      <c r="A158" s="1455"/>
      <c r="B158" s="1455"/>
      <c r="C158" s="1455"/>
      <c r="D158" s="1455"/>
      <c r="E158" s="1455"/>
      <c r="F158" s="2838" t="s">
        <v>3609</v>
      </c>
      <c r="G158" s="2839"/>
      <c r="H158" s="2839"/>
      <c r="I158" s="2839"/>
      <c r="J158" s="2839"/>
      <c r="K158" s="2840"/>
      <c r="L158" s="2426" t="s">
        <v>3658</v>
      </c>
      <c r="M158" s="2427"/>
      <c r="N158" s="2427"/>
      <c r="O158" s="2427"/>
      <c r="P158" s="2427"/>
      <c r="Q158" s="2427"/>
      <c r="R158" s="2427"/>
      <c r="S158" s="2428"/>
      <c r="T158" s="2437" t="s">
        <v>3581</v>
      </c>
      <c r="U158" s="2432"/>
      <c r="V158" s="2432"/>
      <c r="W158" s="2432"/>
      <c r="X158" s="2432"/>
      <c r="Y158" s="2432"/>
      <c r="Z158" s="2432"/>
      <c r="AA158" s="2432"/>
      <c r="AB158" s="2844" t="s">
        <v>3659</v>
      </c>
      <c r="AC158" s="2844"/>
      <c r="AD158" s="2844"/>
      <c r="AE158" s="2844"/>
      <c r="AF158" s="1536"/>
      <c r="AG158" s="1536"/>
      <c r="AH158" s="1536"/>
      <c r="AI158" s="1536"/>
      <c r="AJ158" s="1536"/>
      <c r="AK158" s="1536"/>
      <c r="AL158" s="1536"/>
      <c r="AM158" s="1536"/>
      <c r="AN158" s="1536"/>
      <c r="AO158" s="1536"/>
      <c r="AP158" s="1455"/>
    </row>
    <row r="159" spans="1:51">
      <c r="A159" s="1455"/>
      <c r="B159" s="1455"/>
      <c r="C159" s="1455"/>
      <c r="D159" s="1455"/>
      <c r="E159" s="1455"/>
      <c r="F159" s="2838" t="s">
        <v>3616</v>
      </c>
      <c r="G159" s="2839"/>
      <c r="H159" s="2839"/>
      <c r="I159" s="2839"/>
      <c r="J159" s="2839"/>
      <c r="K159" s="2840"/>
      <c r="L159" s="2426" t="s">
        <v>3584</v>
      </c>
      <c r="M159" s="2427"/>
      <c r="N159" s="2427"/>
      <c r="O159" s="2427"/>
      <c r="P159" s="2427"/>
      <c r="Q159" s="2427"/>
      <c r="R159" s="2427"/>
      <c r="S159" s="2428"/>
      <c r="T159" s="2437" t="s">
        <v>3618</v>
      </c>
      <c r="U159" s="2432"/>
      <c r="V159" s="2432"/>
      <c r="W159" s="2432"/>
      <c r="X159" s="2432"/>
      <c r="Y159" s="2432"/>
      <c r="Z159" s="2432"/>
      <c r="AA159" s="2432"/>
      <c r="AB159" s="2844" t="s">
        <v>3659</v>
      </c>
      <c r="AC159" s="2844"/>
      <c r="AD159" s="2844"/>
      <c r="AE159" s="2844"/>
      <c r="AF159" s="1536"/>
      <c r="AG159" s="1536"/>
      <c r="AH159" s="1536"/>
      <c r="AI159" s="1536"/>
      <c r="AJ159" s="1536"/>
      <c r="AK159" s="1536"/>
      <c r="AL159" s="1536"/>
      <c r="AM159" s="1536"/>
      <c r="AN159" s="1536"/>
      <c r="AO159" s="1536"/>
      <c r="AP159" s="1455"/>
    </row>
    <row r="160" spans="1:51">
      <c r="A160" s="1455"/>
      <c r="B160" s="1455"/>
      <c r="C160" s="1455"/>
      <c r="D160" s="1455"/>
      <c r="E160" s="1455"/>
      <c r="F160" s="2838" t="s">
        <v>3616</v>
      </c>
      <c r="G160" s="2839"/>
      <c r="H160" s="2839"/>
      <c r="I160" s="2839"/>
      <c r="J160" s="2839"/>
      <c r="K160" s="2840"/>
      <c r="L160" s="2426" t="s">
        <v>3617</v>
      </c>
      <c r="M160" s="2427"/>
      <c r="N160" s="2427"/>
      <c r="O160" s="2427"/>
      <c r="P160" s="2427"/>
      <c r="Q160" s="2427"/>
      <c r="R160" s="2427"/>
      <c r="S160" s="2428"/>
      <c r="T160" s="2437" t="s">
        <v>3581</v>
      </c>
      <c r="U160" s="2432"/>
      <c r="V160" s="2432"/>
      <c r="W160" s="2432"/>
      <c r="X160" s="2432"/>
      <c r="Y160" s="2432"/>
      <c r="Z160" s="2432"/>
      <c r="AA160" s="2432"/>
      <c r="AB160" s="2844" t="s">
        <v>3660</v>
      </c>
      <c r="AC160" s="2844"/>
      <c r="AD160" s="2844"/>
      <c r="AE160" s="2844"/>
      <c r="AF160" s="1536"/>
      <c r="AG160" s="1536"/>
      <c r="AH160" s="1536"/>
      <c r="AI160" s="1536"/>
      <c r="AJ160" s="1536"/>
      <c r="AK160" s="1536"/>
      <c r="AL160" s="1536"/>
      <c r="AM160" s="1536"/>
      <c r="AN160" s="1536"/>
      <c r="AO160" s="1536"/>
      <c r="AP160" s="1455"/>
    </row>
    <row r="161" spans="1:42">
      <c r="A161" s="1455"/>
      <c r="B161" s="1455"/>
      <c r="C161" s="1455"/>
      <c r="D161" s="1455"/>
      <c r="E161" s="1455"/>
      <c r="F161" s="2838" t="s">
        <v>3619</v>
      </c>
      <c r="G161" s="2839"/>
      <c r="H161" s="2839"/>
      <c r="I161" s="2839"/>
      <c r="J161" s="2839"/>
      <c r="K161" s="2840"/>
      <c r="L161" s="2426" t="s">
        <v>3584</v>
      </c>
      <c r="M161" s="2427"/>
      <c r="N161" s="2427"/>
      <c r="O161" s="2427"/>
      <c r="P161" s="2427"/>
      <c r="Q161" s="2427"/>
      <c r="R161" s="2427"/>
      <c r="S161" s="2428"/>
      <c r="T161" s="2437" t="s">
        <v>3661</v>
      </c>
      <c r="U161" s="2432"/>
      <c r="V161" s="2432"/>
      <c r="W161" s="2432"/>
      <c r="X161" s="2432"/>
      <c r="Y161" s="2432"/>
      <c r="Z161" s="2432"/>
      <c r="AA161" s="2432"/>
      <c r="AB161" s="2844" t="s">
        <v>3660</v>
      </c>
      <c r="AC161" s="2844"/>
      <c r="AD161" s="2844"/>
      <c r="AE161" s="2844"/>
      <c r="AF161" s="1536"/>
      <c r="AG161" s="1536"/>
      <c r="AH161" s="1536"/>
      <c r="AI161" s="1536"/>
      <c r="AJ161" s="1536"/>
      <c r="AK161" s="1536"/>
      <c r="AL161" s="1536"/>
      <c r="AM161" s="1536"/>
      <c r="AN161" s="1536"/>
      <c r="AO161" s="1536"/>
      <c r="AP161" s="1455"/>
    </row>
    <row r="162" spans="1:42">
      <c r="A162" s="1455"/>
      <c r="B162" s="1455"/>
      <c r="C162" s="1455"/>
      <c r="D162" s="1455"/>
      <c r="E162" s="1455"/>
      <c r="F162" s="2838" t="s">
        <v>3619</v>
      </c>
      <c r="G162" s="2839"/>
      <c r="H162" s="2839"/>
      <c r="I162" s="2839"/>
      <c r="J162" s="2839"/>
      <c r="K162" s="2840"/>
      <c r="L162" s="2426" t="s">
        <v>3662</v>
      </c>
      <c r="M162" s="2427"/>
      <c r="N162" s="2427"/>
      <c r="O162" s="2427"/>
      <c r="P162" s="2427"/>
      <c r="Q162" s="2427"/>
      <c r="R162" s="2427"/>
      <c r="S162" s="2428"/>
      <c r="T162" s="2437" t="s">
        <v>3581</v>
      </c>
      <c r="U162" s="2432"/>
      <c r="V162" s="2432"/>
      <c r="W162" s="2432"/>
      <c r="X162" s="2432"/>
      <c r="Y162" s="2432"/>
      <c r="Z162" s="2432"/>
      <c r="AA162" s="2432"/>
      <c r="AB162" s="2844" t="s">
        <v>3663</v>
      </c>
      <c r="AC162" s="2844"/>
      <c r="AD162" s="2844"/>
      <c r="AE162" s="2844"/>
      <c r="AF162" s="1536"/>
      <c r="AG162" s="1536"/>
      <c r="AH162" s="1536"/>
      <c r="AI162" s="1536"/>
      <c r="AJ162" s="1536"/>
      <c r="AK162" s="1536"/>
      <c r="AL162" s="1536"/>
      <c r="AM162" s="1536"/>
      <c r="AN162" s="1536"/>
      <c r="AO162" s="1536"/>
      <c r="AP162" s="1455"/>
    </row>
    <row r="163" spans="1:42">
      <c r="A163" s="1455"/>
      <c r="B163" s="1455"/>
      <c r="C163" s="1455"/>
      <c r="D163" s="1455"/>
      <c r="E163" s="1455"/>
      <c r="F163" s="2838" t="s">
        <v>3620</v>
      </c>
      <c r="G163" s="2839"/>
      <c r="H163" s="2839"/>
      <c r="I163" s="2839"/>
      <c r="J163" s="2839"/>
      <c r="K163" s="2840"/>
      <c r="L163" s="2426" t="s">
        <v>3584</v>
      </c>
      <c r="M163" s="2427"/>
      <c r="N163" s="2427"/>
      <c r="O163" s="2427"/>
      <c r="P163" s="2427"/>
      <c r="Q163" s="2427"/>
      <c r="R163" s="2427"/>
      <c r="S163" s="2428"/>
      <c r="T163" s="2437" t="s">
        <v>3621</v>
      </c>
      <c r="U163" s="2432"/>
      <c r="V163" s="2432"/>
      <c r="W163" s="2432"/>
      <c r="X163" s="2432"/>
      <c r="Y163" s="2432"/>
      <c r="Z163" s="2432"/>
      <c r="AA163" s="2432"/>
      <c r="AB163" s="2844" t="s">
        <v>3663</v>
      </c>
      <c r="AC163" s="2844"/>
      <c r="AD163" s="2844"/>
      <c r="AE163" s="2844"/>
      <c r="AF163" s="1536"/>
      <c r="AG163" s="1536"/>
      <c r="AH163" s="1536"/>
      <c r="AI163" s="1536"/>
      <c r="AJ163" s="1536"/>
      <c r="AK163" s="1536"/>
      <c r="AL163" s="1536"/>
      <c r="AM163" s="1536"/>
      <c r="AN163" s="1536"/>
      <c r="AO163" s="1536"/>
      <c r="AP163" s="1455"/>
    </row>
    <row r="164" spans="1:42">
      <c r="A164" s="1455"/>
      <c r="B164" s="1455"/>
      <c r="C164" s="1455"/>
      <c r="D164" s="1455"/>
      <c r="E164" s="1455"/>
      <c r="F164" s="2838" t="s">
        <v>3620</v>
      </c>
      <c r="G164" s="2839"/>
      <c r="H164" s="2839"/>
      <c r="I164" s="2839"/>
      <c r="J164" s="2839"/>
      <c r="K164" s="2840"/>
      <c r="L164" s="2426" t="s">
        <v>3621</v>
      </c>
      <c r="M164" s="2427"/>
      <c r="N164" s="2427"/>
      <c r="O164" s="2427"/>
      <c r="P164" s="2427"/>
      <c r="Q164" s="2427"/>
      <c r="R164" s="2427"/>
      <c r="S164" s="2428"/>
      <c r="T164" s="2437" t="s">
        <v>3581</v>
      </c>
      <c r="U164" s="2432"/>
      <c r="V164" s="2432"/>
      <c r="W164" s="2432"/>
      <c r="X164" s="2432"/>
      <c r="Y164" s="2432"/>
      <c r="Z164" s="2432"/>
      <c r="AA164" s="2432"/>
      <c r="AB164" s="2844" t="s">
        <v>3664</v>
      </c>
      <c r="AC164" s="2844"/>
      <c r="AD164" s="2844"/>
      <c r="AE164" s="2844"/>
      <c r="AF164" s="1536"/>
      <c r="AG164" s="1536"/>
      <c r="AH164" s="1536"/>
      <c r="AI164" s="1536"/>
      <c r="AJ164" s="1536"/>
      <c r="AK164" s="1536"/>
      <c r="AL164" s="1536"/>
      <c r="AM164" s="1536"/>
      <c r="AN164" s="1536"/>
      <c r="AO164" s="1536"/>
      <c r="AP164" s="1455"/>
    </row>
    <row r="165" spans="1:42">
      <c r="A165" s="1455"/>
      <c r="B165" s="1455"/>
      <c r="C165" s="1455"/>
      <c r="D165" s="1455"/>
      <c r="E165" s="1455"/>
      <c r="F165" s="2838" t="s">
        <v>3622</v>
      </c>
      <c r="G165" s="2839"/>
      <c r="H165" s="2839"/>
      <c r="I165" s="2839"/>
      <c r="J165" s="2839"/>
      <c r="K165" s="2840"/>
      <c r="L165" s="2426" t="s">
        <v>3584</v>
      </c>
      <c r="M165" s="2427"/>
      <c r="N165" s="2427"/>
      <c r="O165" s="2427"/>
      <c r="P165" s="2427"/>
      <c r="Q165" s="2427"/>
      <c r="R165" s="2427"/>
      <c r="S165" s="2428"/>
      <c r="T165" s="2437" t="s">
        <v>3665</v>
      </c>
      <c r="U165" s="2432"/>
      <c r="V165" s="2432"/>
      <c r="W165" s="2432"/>
      <c r="X165" s="2432"/>
      <c r="Y165" s="2432"/>
      <c r="Z165" s="2432"/>
      <c r="AA165" s="2432"/>
      <c r="AB165" s="2844" t="s">
        <v>3664</v>
      </c>
      <c r="AC165" s="2844"/>
      <c r="AD165" s="2844"/>
      <c r="AE165" s="2844"/>
      <c r="AF165" s="1536"/>
      <c r="AG165" s="1536"/>
      <c r="AH165" s="1536"/>
      <c r="AI165" s="1536"/>
      <c r="AJ165" s="1536"/>
      <c r="AK165" s="1536"/>
      <c r="AL165" s="1536"/>
      <c r="AM165" s="1536"/>
      <c r="AN165" s="1536"/>
      <c r="AO165" s="1536"/>
      <c r="AP165" s="1455"/>
    </row>
    <row r="166" spans="1:42">
      <c r="A166" s="1455"/>
      <c r="B166" s="1455"/>
      <c r="C166" s="1455"/>
      <c r="D166" s="1455"/>
      <c r="E166" s="1455"/>
      <c r="F166" s="2838" t="s">
        <v>3622</v>
      </c>
      <c r="G166" s="2839"/>
      <c r="H166" s="2839"/>
      <c r="I166" s="2839"/>
      <c r="J166" s="2839"/>
      <c r="K166" s="2840"/>
      <c r="L166" s="2426" t="s">
        <v>3666</v>
      </c>
      <c r="M166" s="2427"/>
      <c r="N166" s="2427"/>
      <c r="O166" s="2427"/>
      <c r="P166" s="2427"/>
      <c r="Q166" s="2427"/>
      <c r="R166" s="2427"/>
      <c r="S166" s="2428"/>
      <c r="T166" s="2437" t="s">
        <v>3581</v>
      </c>
      <c r="U166" s="2432"/>
      <c r="V166" s="2432"/>
      <c r="W166" s="2432"/>
      <c r="X166" s="2432"/>
      <c r="Y166" s="2432"/>
      <c r="Z166" s="2432"/>
      <c r="AA166" s="2432"/>
      <c r="AB166" s="2844" t="s">
        <v>3667</v>
      </c>
      <c r="AC166" s="2844"/>
      <c r="AD166" s="2844"/>
      <c r="AE166" s="2844"/>
      <c r="AF166" s="1536"/>
      <c r="AG166" s="1536"/>
      <c r="AH166" s="1536"/>
      <c r="AI166" s="1536"/>
      <c r="AJ166" s="1536"/>
      <c r="AK166" s="1536"/>
      <c r="AL166" s="1536"/>
      <c r="AM166" s="1536"/>
      <c r="AN166" s="1536"/>
      <c r="AO166" s="1536"/>
      <c r="AP166" s="1455"/>
    </row>
    <row r="167" spans="1:42">
      <c r="A167" s="1455"/>
      <c r="B167" s="1455"/>
      <c r="C167" s="1455"/>
      <c r="D167" s="1455"/>
      <c r="E167" s="1455"/>
      <c r="F167" s="2838" t="s">
        <v>3642</v>
      </c>
      <c r="G167" s="2839"/>
      <c r="H167" s="2839"/>
      <c r="I167" s="2839"/>
      <c r="J167" s="2839"/>
      <c r="K167" s="2840"/>
      <c r="L167" s="2426" t="s">
        <v>3584</v>
      </c>
      <c r="M167" s="2427"/>
      <c r="N167" s="2427"/>
      <c r="O167" s="2427"/>
      <c r="P167" s="2427"/>
      <c r="Q167" s="2427"/>
      <c r="R167" s="2427"/>
      <c r="S167" s="2428"/>
      <c r="T167" s="2437" t="s">
        <v>3612</v>
      </c>
      <c r="U167" s="2432"/>
      <c r="V167" s="2432"/>
      <c r="W167" s="2432"/>
      <c r="X167" s="2432"/>
      <c r="Y167" s="2432"/>
      <c r="Z167" s="2432"/>
      <c r="AA167" s="2432"/>
      <c r="AB167" s="2844" t="s">
        <v>3667</v>
      </c>
      <c r="AC167" s="2844"/>
      <c r="AD167" s="2844"/>
      <c r="AE167" s="2844"/>
      <c r="AF167" s="1536"/>
      <c r="AG167" s="1536"/>
      <c r="AH167" s="1536"/>
      <c r="AI167" s="1536"/>
      <c r="AJ167" s="1536"/>
      <c r="AK167" s="1536"/>
      <c r="AL167" s="1536"/>
      <c r="AM167" s="1536"/>
      <c r="AN167" s="1536"/>
      <c r="AO167" s="1536"/>
      <c r="AP167" s="1455"/>
    </row>
    <row r="168" spans="1:42">
      <c r="A168" s="1455"/>
      <c r="B168" s="1455"/>
      <c r="C168" s="1455"/>
      <c r="D168" s="1455"/>
      <c r="E168" s="1455"/>
      <c r="F168" s="2838" t="s">
        <v>3642</v>
      </c>
      <c r="G168" s="2839"/>
      <c r="H168" s="2839"/>
      <c r="I168" s="2839"/>
      <c r="J168" s="2839"/>
      <c r="K168" s="2840"/>
      <c r="L168" s="2426" t="s">
        <v>3610</v>
      </c>
      <c r="M168" s="2427"/>
      <c r="N168" s="2427"/>
      <c r="O168" s="2427"/>
      <c r="P168" s="2427"/>
      <c r="Q168" s="2427"/>
      <c r="R168" s="2427"/>
      <c r="S168" s="2428"/>
      <c r="T168" s="2437" t="s">
        <v>3668</v>
      </c>
      <c r="U168" s="2432"/>
      <c r="V168" s="2432"/>
      <c r="W168" s="2432"/>
      <c r="X168" s="2432"/>
      <c r="Y168" s="2432"/>
      <c r="Z168" s="2432"/>
      <c r="AA168" s="2432"/>
      <c r="AB168" s="2844" t="s">
        <v>3669</v>
      </c>
      <c r="AC168" s="2844"/>
      <c r="AD168" s="2844"/>
      <c r="AE168" s="2844"/>
      <c r="AF168" s="1536"/>
      <c r="AG168" s="1536"/>
      <c r="AH168" s="1536"/>
      <c r="AI168" s="1536"/>
      <c r="AJ168" s="1536"/>
      <c r="AK168" s="1536"/>
      <c r="AL168" s="1536"/>
      <c r="AM168" s="1536"/>
      <c r="AN168" s="1536"/>
      <c r="AO168" s="1536"/>
      <c r="AP168" s="1455"/>
    </row>
    <row r="169" spans="1:42">
      <c r="A169" s="1455"/>
      <c r="B169" s="1455"/>
      <c r="C169" s="1455"/>
      <c r="D169" s="1455"/>
      <c r="E169" s="1455"/>
      <c r="F169" s="2838" t="s">
        <v>3642</v>
      </c>
      <c r="G169" s="2839"/>
      <c r="H169" s="2839"/>
      <c r="I169" s="2839"/>
      <c r="J169" s="2839"/>
      <c r="K169" s="2840"/>
      <c r="L169" s="2426" t="s">
        <v>3648</v>
      </c>
      <c r="M169" s="2427"/>
      <c r="N169" s="2427"/>
      <c r="O169" s="2427"/>
      <c r="P169" s="2427"/>
      <c r="Q169" s="2427"/>
      <c r="R169" s="2427"/>
      <c r="S169" s="2428"/>
      <c r="T169" s="2437" t="s">
        <v>3581</v>
      </c>
      <c r="U169" s="2432"/>
      <c r="V169" s="2432"/>
      <c r="W169" s="2432"/>
      <c r="X169" s="2432"/>
      <c r="Y169" s="2432"/>
      <c r="Z169" s="2432"/>
      <c r="AA169" s="2432"/>
      <c r="AB169" s="2844" t="s">
        <v>3670</v>
      </c>
      <c r="AC169" s="2844"/>
      <c r="AD169" s="2844"/>
      <c r="AE169" s="2844"/>
      <c r="AF169" s="1536"/>
      <c r="AG169" s="1536"/>
      <c r="AH169" s="1536"/>
      <c r="AI169" s="1536"/>
      <c r="AJ169" s="1536"/>
      <c r="AK169" s="1536"/>
      <c r="AL169" s="1536"/>
      <c r="AM169" s="1536"/>
      <c r="AN169" s="1536"/>
      <c r="AO169" s="1536"/>
      <c r="AP169" s="1455"/>
    </row>
    <row r="170" spans="1:42" s="1541" customFormat="1">
      <c r="A170" s="1549"/>
      <c r="B170" s="1549"/>
      <c r="C170" s="1549"/>
      <c r="D170" s="1549"/>
      <c r="E170" s="1549"/>
      <c r="F170" s="2423" t="s">
        <v>3647</v>
      </c>
      <c r="G170" s="2424"/>
      <c r="H170" s="2424"/>
      <c r="I170" s="2424"/>
      <c r="J170" s="2424"/>
      <c r="K170" s="2425"/>
      <c r="L170" s="2426" t="s">
        <v>3584</v>
      </c>
      <c r="M170" s="2427"/>
      <c r="N170" s="2427"/>
      <c r="O170" s="2427"/>
      <c r="P170" s="2427"/>
      <c r="Q170" s="2427"/>
      <c r="R170" s="2427"/>
      <c r="S170" s="2428"/>
      <c r="T170" s="2429" t="s">
        <v>3671</v>
      </c>
      <c r="U170" s="2424"/>
      <c r="V170" s="2424"/>
      <c r="W170" s="2424"/>
      <c r="X170" s="2424"/>
      <c r="Y170" s="2424"/>
      <c r="Z170" s="2424"/>
      <c r="AA170" s="2424"/>
      <c r="AB170" s="2430" t="s">
        <v>3670</v>
      </c>
      <c r="AC170" s="2430"/>
      <c r="AD170" s="2430"/>
      <c r="AE170" s="2430"/>
      <c r="AF170" s="1550"/>
      <c r="AG170" s="1550"/>
      <c r="AH170" s="1550"/>
      <c r="AI170" s="1550"/>
      <c r="AJ170" s="1550"/>
      <c r="AK170" s="1550"/>
      <c r="AL170" s="1550"/>
      <c r="AM170" s="1550"/>
      <c r="AN170" s="1550"/>
      <c r="AO170" s="1550"/>
      <c r="AP170" s="1549"/>
    </row>
    <row r="171" spans="1:42">
      <c r="A171" s="1455"/>
      <c r="B171" s="1455"/>
      <c r="C171" s="1455"/>
      <c r="D171" s="1455"/>
      <c r="E171" s="1455"/>
      <c r="F171" s="2838" t="s">
        <v>3647</v>
      </c>
      <c r="G171" s="2839"/>
      <c r="H171" s="2839"/>
      <c r="I171" s="2839"/>
      <c r="J171" s="2839"/>
      <c r="K171" s="2840"/>
      <c r="L171" s="2426" t="s">
        <v>3672</v>
      </c>
      <c r="M171" s="2427"/>
      <c r="N171" s="2427"/>
      <c r="O171" s="2427"/>
      <c r="P171" s="2427"/>
      <c r="Q171" s="2427"/>
      <c r="R171" s="2427"/>
      <c r="S171" s="2428"/>
      <c r="T171" s="2437" t="s">
        <v>3581</v>
      </c>
      <c r="U171" s="2432"/>
      <c r="V171" s="2432"/>
      <c r="W171" s="2432"/>
      <c r="X171" s="2432"/>
      <c r="Y171" s="2432"/>
      <c r="Z171" s="2432"/>
      <c r="AA171" s="2432"/>
      <c r="AB171" s="2844" t="s">
        <v>3673</v>
      </c>
      <c r="AC171" s="2844"/>
      <c r="AD171" s="2844"/>
      <c r="AE171" s="2844"/>
      <c r="AF171" s="1536"/>
      <c r="AG171" s="1536"/>
      <c r="AH171" s="1536"/>
      <c r="AI171" s="1536"/>
      <c r="AJ171" s="1536"/>
      <c r="AK171" s="1536"/>
      <c r="AL171" s="1536"/>
      <c r="AM171" s="1536"/>
      <c r="AN171" s="1536"/>
      <c r="AO171" s="1536"/>
      <c r="AP171" s="1455"/>
    </row>
    <row r="172" spans="1:42" s="1541" customFormat="1">
      <c r="A172" s="1549"/>
      <c r="B172" s="1549"/>
      <c r="C172" s="1549"/>
      <c r="D172" s="1549"/>
      <c r="E172" s="1549"/>
      <c r="F172" s="2423" t="s">
        <v>3674</v>
      </c>
      <c r="G172" s="2424"/>
      <c r="H172" s="2424"/>
      <c r="I172" s="2424"/>
      <c r="J172" s="2424"/>
      <c r="K172" s="2425"/>
      <c r="L172" s="2426" t="s">
        <v>3584</v>
      </c>
      <c r="M172" s="2427"/>
      <c r="N172" s="2427"/>
      <c r="O172" s="2427"/>
      <c r="P172" s="2427"/>
      <c r="Q172" s="2427"/>
      <c r="R172" s="2427"/>
      <c r="S172" s="2428"/>
      <c r="T172" s="2429" t="s">
        <v>3650</v>
      </c>
      <c r="U172" s="2424"/>
      <c r="V172" s="2424"/>
      <c r="W172" s="2424"/>
      <c r="X172" s="2424"/>
      <c r="Y172" s="2424"/>
      <c r="Z172" s="2424"/>
      <c r="AA172" s="2424"/>
      <c r="AB172" s="2430" t="s">
        <v>3673</v>
      </c>
      <c r="AC172" s="2430"/>
      <c r="AD172" s="2430"/>
      <c r="AE172" s="2430"/>
      <c r="AF172" s="1550"/>
      <c r="AG172" s="1550"/>
      <c r="AH172" s="1550"/>
      <c r="AI172" s="1550"/>
      <c r="AJ172" s="1550"/>
      <c r="AK172" s="1550"/>
      <c r="AL172" s="1550"/>
      <c r="AM172" s="1550"/>
      <c r="AN172" s="1550"/>
      <c r="AO172" s="1550"/>
      <c r="AP172" s="1549"/>
    </row>
    <row r="173" spans="1:42">
      <c r="A173" s="1455"/>
      <c r="B173" s="1455"/>
      <c r="C173" s="1455"/>
      <c r="D173" s="1455"/>
      <c r="E173" s="1455"/>
      <c r="F173" s="2838" t="s">
        <v>3674</v>
      </c>
      <c r="G173" s="2839"/>
      <c r="H173" s="2839"/>
      <c r="I173" s="2839"/>
      <c r="J173" s="2839"/>
      <c r="K173" s="2840"/>
      <c r="L173" s="2426" t="s">
        <v>3675</v>
      </c>
      <c r="M173" s="2427"/>
      <c r="N173" s="2427"/>
      <c r="O173" s="2427"/>
      <c r="P173" s="2427"/>
      <c r="Q173" s="2427"/>
      <c r="R173" s="2427"/>
      <c r="S173" s="2428"/>
      <c r="T173" s="2437" t="s">
        <v>3676</v>
      </c>
      <c r="U173" s="2432"/>
      <c r="V173" s="2432"/>
      <c r="W173" s="2432"/>
      <c r="X173" s="2432"/>
      <c r="Y173" s="2432"/>
      <c r="Z173" s="2432"/>
      <c r="AA173" s="2432"/>
      <c r="AB173" s="2844" t="s">
        <v>3677</v>
      </c>
      <c r="AC173" s="2844"/>
      <c r="AD173" s="2844"/>
      <c r="AE173" s="2844"/>
      <c r="AF173" s="1536"/>
      <c r="AG173" s="1536"/>
      <c r="AH173" s="1536"/>
      <c r="AI173" s="1536"/>
      <c r="AJ173" s="1536"/>
      <c r="AK173" s="1536"/>
      <c r="AL173" s="1536"/>
      <c r="AM173" s="1536"/>
      <c r="AN173" s="1536"/>
      <c r="AO173" s="1536"/>
      <c r="AP173" s="1455"/>
    </row>
    <row r="174" spans="1:42">
      <c r="A174" s="1455"/>
      <c r="B174" s="1455"/>
      <c r="C174" s="1455"/>
      <c r="D174" s="1455"/>
      <c r="E174" s="1455"/>
      <c r="F174" s="2423" t="s">
        <v>3674</v>
      </c>
      <c r="G174" s="2424"/>
      <c r="H174" s="2424"/>
      <c r="I174" s="2424"/>
      <c r="J174" s="2424"/>
      <c r="K174" s="2425"/>
      <c r="L174" s="2426" t="s">
        <v>3679</v>
      </c>
      <c r="M174" s="2427"/>
      <c r="N174" s="2427"/>
      <c r="O174" s="2427"/>
      <c r="P174" s="2427"/>
      <c r="Q174" s="2427"/>
      <c r="R174" s="2427"/>
      <c r="S174" s="2428"/>
      <c r="T174" s="2429" t="s">
        <v>3581</v>
      </c>
      <c r="U174" s="2424"/>
      <c r="V174" s="2424"/>
      <c r="W174" s="2424"/>
      <c r="X174" s="2424"/>
      <c r="Y174" s="2424"/>
      <c r="Z174" s="2424"/>
      <c r="AA174" s="2424"/>
      <c r="AB174" s="2430" t="s">
        <v>3685</v>
      </c>
      <c r="AC174" s="2430"/>
      <c r="AD174" s="2430"/>
      <c r="AE174" s="2430"/>
      <c r="AF174" s="1536"/>
      <c r="AG174" s="1536"/>
      <c r="AH174" s="1536"/>
      <c r="AI174" s="1536"/>
      <c r="AJ174" s="1536"/>
      <c r="AK174" s="1536"/>
      <c r="AL174" s="1536"/>
      <c r="AM174" s="1536"/>
      <c r="AN174" s="1536"/>
      <c r="AO174" s="1536"/>
      <c r="AP174" s="1455"/>
    </row>
    <row r="175" spans="1:42">
      <c r="A175" s="1455"/>
      <c r="B175" s="1455"/>
      <c r="C175" s="1455"/>
      <c r="D175" s="1455"/>
      <c r="E175" s="1455"/>
      <c r="F175" s="2423" t="s">
        <v>3686</v>
      </c>
      <c r="G175" s="2424"/>
      <c r="H175" s="2424"/>
      <c r="I175" s="2424"/>
      <c r="J175" s="2424"/>
      <c r="K175" s="2425"/>
      <c r="L175" s="2426" t="s">
        <v>3584</v>
      </c>
      <c r="M175" s="2427"/>
      <c r="N175" s="2427"/>
      <c r="O175" s="2427"/>
      <c r="P175" s="2427"/>
      <c r="Q175" s="2427"/>
      <c r="R175" s="2427"/>
      <c r="S175" s="2428"/>
      <c r="T175" s="2429" t="s">
        <v>3687</v>
      </c>
      <c r="U175" s="2424"/>
      <c r="V175" s="2424"/>
      <c r="W175" s="2424"/>
      <c r="X175" s="2424"/>
      <c r="Y175" s="2424"/>
      <c r="Z175" s="2424"/>
      <c r="AA175" s="2424"/>
      <c r="AB175" s="2430" t="s">
        <v>3685</v>
      </c>
      <c r="AC175" s="2430"/>
      <c r="AD175" s="2430"/>
      <c r="AE175" s="2430"/>
      <c r="AF175" s="1536"/>
      <c r="AG175" s="1536"/>
      <c r="AH175" s="1536"/>
      <c r="AI175" s="1536"/>
      <c r="AJ175" s="1536"/>
      <c r="AK175" s="1536"/>
      <c r="AL175" s="1536"/>
      <c r="AM175" s="1536"/>
      <c r="AN175" s="1536"/>
      <c r="AO175" s="1536"/>
      <c r="AP175" s="1455"/>
    </row>
    <row r="176" spans="1:42">
      <c r="A176" s="1455"/>
      <c r="B176" s="1455"/>
      <c r="C176" s="1455"/>
      <c r="D176" s="1455"/>
      <c r="E176" s="1455"/>
      <c r="F176" s="2423" t="s">
        <v>3686</v>
      </c>
      <c r="G176" s="2424"/>
      <c r="H176" s="2424"/>
      <c r="I176" s="2424"/>
      <c r="J176" s="2424"/>
      <c r="K176" s="2425"/>
      <c r="L176" s="2426" t="s">
        <v>3688</v>
      </c>
      <c r="M176" s="2427"/>
      <c r="N176" s="2427"/>
      <c r="O176" s="2427"/>
      <c r="P176" s="2427"/>
      <c r="Q176" s="2427"/>
      <c r="R176" s="2427"/>
      <c r="S176" s="2428"/>
      <c r="T176" s="2429" t="s">
        <v>3581</v>
      </c>
      <c r="U176" s="2424"/>
      <c r="V176" s="2424"/>
      <c r="W176" s="2424"/>
      <c r="X176" s="2424"/>
      <c r="Y176" s="2424"/>
      <c r="Z176" s="2424"/>
      <c r="AA176" s="2424"/>
      <c r="AB176" s="2430" t="s">
        <v>3684</v>
      </c>
      <c r="AC176" s="2430"/>
      <c r="AD176" s="2430"/>
      <c r="AE176" s="2430"/>
      <c r="AF176" s="1536"/>
      <c r="AG176" s="1536"/>
      <c r="AH176" s="1536"/>
      <c r="AI176" s="1536"/>
      <c r="AJ176" s="1536"/>
      <c r="AK176" s="1536"/>
      <c r="AL176" s="1536"/>
      <c r="AM176" s="1536"/>
      <c r="AN176" s="1536"/>
      <c r="AO176" s="1536"/>
      <c r="AP176" s="1455"/>
    </row>
    <row r="177" spans="1:43">
      <c r="A177" s="1455"/>
      <c r="B177" s="1455"/>
      <c r="C177" s="1455"/>
      <c r="D177" s="1455"/>
      <c r="E177" s="1455"/>
      <c r="F177" s="2423" t="s">
        <v>3689</v>
      </c>
      <c r="G177" s="2424"/>
      <c r="H177" s="2424"/>
      <c r="I177" s="2424"/>
      <c r="J177" s="2424"/>
      <c r="K177" s="2425"/>
      <c r="L177" s="2426" t="s">
        <v>3584</v>
      </c>
      <c r="M177" s="2427"/>
      <c r="N177" s="2427"/>
      <c r="O177" s="2427"/>
      <c r="P177" s="2427"/>
      <c r="Q177" s="2427"/>
      <c r="R177" s="2427"/>
      <c r="S177" s="2428"/>
      <c r="T177" s="2429" t="s">
        <v>3690</v>
      </c>
      <c r="U177" s="2424"/>
      <c r="V177" s="2424"/>
      <c r="W177" s="2424"/>
      <c r="X177" s="2424"/>
      <c r="Y177" s="2424"/>
      <c r="Z177" s="2424"/>
      <c r="AA177" s="2424"/>
      <c r="AB177" s="2430" t="s">
        <v>3684</v>
      </c>
      <c r="AC177" s="2430"/>
      <c r="AD177" s="2430"/>
      <c r="AE177" s="2430"/>
      <c r="AF177" s="1536"/>
      <c r="AG177" s="1536"/>
      <c r="AH177" s="1536"/>
      <c r="AI177" s="1536"/>
      <c r="AJ177" s="1536"/>
      <c r="AK177" s="1536"/>
      <c r="AL177" s="1536"/>
      <c r="AM177" s="1536"/>
      <c r="AN177" s="1536"/>
      <c r="AO177" s="1536"/>
      <c r="AP177" s="1455"/>
    </row>
    <row r="178" spans="1:43">
      <c r="A178" s="1455"/>
      <c r="B178" s="1455"/>
      <c r="C178" s="1455"/>
      <c r="D178" s="1455"/>
      <c r="E178" s="1455"/>
      <c r="F178" s="2423" t="s">
        <v>3689</v>
      </c>
      <c r="G178" s="2424"/>
      <c r="H178" s="2424"/>
      <c r="I178" s="2424"/>
      <c r="J178" s="2424"/>
      <c r="K178" s="2425"/>
      <c r="L178" s="2426" t="s">
        <v>3704</v>
      </c>
      <c r="M178" s="2427"/>
      <c r="N178" s="2427"/>
      <c r="O178" s="2427"/>
      <c r="P178" s="2427"/>
      <c r="Q178" s="2427"/>
      <c r="R178" s="2427"/>
      <c r="S178" s="2428"/>
      <c r="T178" s="2429" t="s">
        <v>3581</v>
      </c>
      <c r="U178" s="2424"/>
      <c r="V178" s="2424"/>
      <c r="W178" s="2424"/>
      <c r="X178" s="2424"/>
      <c r="Y178" s="2424"/>
      <c r="Z178" s="2424"/>
      <c r="AA178" s="2424"/>
      <c r="AB178" s="2430" t="s">
        <v>3703</v>
      </c>
      <c r="AC178" s="2430"/>
      <c r="AD178" s="2430"/>
      <c r="AE178" s="2430"/>
      <c r="AF178" s="1536"/>
      <c r="AG178" s="1536"/>
      <c r="AH178" s="1536"/>
      <c r="AI178" s="1536"/>
      <c r="AJ178" s="1536"/>
      <c r="AK178" s="1536"/>
      <c r="AL178" s="1536"/>
      <c r="AM178" s="1536"/>
      <c r="AN178" s="1536"/>
      <c r="AO178" s="1536"/>
      <c r="AP178" s="1455"/>
    </row>
    <row r="179" spans="1:43">
      <c r="A179" s="1455"/>
      <c r="B179" s="1455"/>
      <c r="C179" s="1455"/>
      <c r="D179" s="1455"/>
      <c r="E179" s="1455"/>
      <c r="F179" s="2423" t="s">
        <v>3702</v>
      </c>
      <c r="G179" s="2424"/>
      <c r="H179" s="2424"/>
      <c r="I179" s="2424"/>
      <c r="J179" s="2424"/>
      <c r="K179" s="2425"/>
      <c r="L179" s="2426" t="s">
        <v>3584</v>
      </c>
      <c r="M179" s="2427"/>
      <c r="N179" s="2427"/>
      <c r="O179" s="2427"/>
      <c r="P179" s="2427"/>
      <c r="Q179" s="2427"/>
      <c r="R179" s="2427"/>
      <c r="S179" s="2428"/>
      <c r="T179" s="2429" t="s">
        <v>3708</v>
      </c>
      <c r="U179" s="2424"/>
      <c r="V179" s="2424"/>
      <c r="W179" s="2424"/>
      <c r="X179" s="2424"/>
      <c r="Y179" s="2424"/>
      <c r="Z179" s="2424"/>
      <c r="AA179" s="2424"/>
      <c r="AB179" s="2430" t="s">
        <v>3703</v>
      </c>
      <c r="AC179" s="2430"/>
      <c r="AD179" s="2430"/>
      <c r="AE179" s="2430"/>
      <c r="AF179" s="1536"/>
      <c r="AG179" s="1536"/>
      <c r="AH179" s="1536"/>
      <c r="AI179" s="1536"/>
      <c r="AJ179" s="1536"/>
      <c r="AK179" s="1536"/>
      <c r="AL179" s="1536"/>
      <c r="AM179" s="1536"/>
      <c r="AN179" s="1536"/>
      <c r="AO179" s="1536"/>
      <c r="AP179" s="1455"/>
    </row>
    <row r="180" spans="1:43">
      <c r="A180" s="1455"/>
      <c r="B180" s="1455"/>
      <c r="C180" s="1455"/>
      <c r="D180" s="1455"/>
      <c r="E180" s="1455"/>
      <c r="F180" s="2423" t="s">
        <v>3702</v>
      </c>
      <c r="G180" s="2424"/>
      <c r="H180" s="2424"/>
      <c r="I180" s="2424"/>
      <c r="J180" s="2424"/>
      <c r="K180" s="2425"/>
      <c r="L180" s="2426" t="s">
        <v>3615</v>
      </c>
      <c r="M180" s="2427"/>
      <c r="N180" s="2427"/>
      <c r="O180" s="2427"/>
      <c r="P180" s="2427"/>
      <c r="Q180" s="2427"/>
      <c r="R180" s="2427"/>
      <c r="S180" s="2428"/>
      <c r="T180" s="2429" t="s">
        <v>3710</v>
      </c>
      <c r="U180" s="2424"/>
      <c r="V180" s="2424"/>
      <c r="W180" s="2424"/>
      <c r="X180" s="2424"/>
      <c r="Y180" s="2424"/>
      <c r="Z180" s="2424"/>
      <c r="AA180" s="2424"/>
      <c r="AB180" s="2430" t="s">
        <v>3709</v>
      </c>
      <c r="AC180" s="2430"/>
      <c r="AD180" s="2430"/>
      <c r="AE180" s="2430"/>
      <c r="AF180" s="1536"/>
      <c r="AG180" s="1536"/>
      <c r="AH180" s="1536"/>
      <c r="AI180" s="1536"/>
      <c r="AJ180" s="1536"/>
      <c r="AK180" s="1536"/>
      <c r="AL180" s="1536"/>
      <c r="AM180" s="1536"/>
      <c r="AN180" s="1536"/>
      <c r="AO180" s="1536"/>
      <c r="AP180" s="1455"/>
    </row>
    <row r="181" spans="1:43">
      <c r="A181" s="1455"/>
      <c r="B181" s="1455"/>
      <c r="C181" s="1455"/>
      <c r="D181" s="1455"/>
      <c r="E181" s="1455"/>
      <c r="F181" s="2423" t="s">
        <v>3702</v>
      </c>
      <c r="G181" s="2424"/>
      <c r="H181" s="2424"/>
      <c r="I181" s="2424"/>
      <c r="J181" s="2424"/>
      <c r="K181" s="2425"/>
      <c r="L181" s="2426" t="s">
        <v>3722</v>
      </c>
      <c r="M181" s="2427"/>
      <c r="N181" s="2427"/>
      <c r="O181" s="2427"/>
      <c r="P181" s="2427"/>
      <c r="Q181" s="2427"/>
      <c r="R181" s="2427"/>
      <c r="S181" s="2428"/>
      <c r="T181" s="2429" t="s">
        <v>3581</v>
      </c>
      <c r="U181" s="2424"/>
      <c r="V181" s="2424"/>
      <c r="W181" s="2424"/>
      <c r="X181" s="2424"/>
      <c r="Y181" s="2424"/>
      <c r="Z181" s="2424"/>
      <c r="AA181" s="2424"/>
      <c r="AB181" s="2430" t="s">
        <v>3723</v>
      </c>
      <c r="AC181" s="2430"/>
      <c r="AD181" s="2430"/>
      <c r="AE181" s="2430"/>
      <c r="AF181" s="1536"/>
      <c r="AG181" s="1536"/>
      <c r="AH181" s="1536"/>
      <c r="AI181" s="1536"/>
      <c r="AJ181" s="1536"/>
      <c r="AK181" s="1536"/>
      <c r="AM181" s="1536"/>
      <c r="AN181" s="1536"/>
      <c r="AO181" s="1536"/>
      <c r="AP181" s="1536"/>
      <c r="AQ181" s="1536" t="s">
        <v>3726</v>
      </c>
    </row>
    <row r="182" spans="1:43">
      <c r="A182" s="1455"/>
      <c r="B182" s="1455"/>
      <c r="C182" s="1455"/>
      <c r="D182" s="1455"/>
      <c r="E182" s="1455"/>
      <c r="F182" s="2423" t="s">
        <v>3724</v>
      </c>
      <c r="G182" s="2424"/>
      <c r="H182" s="2424"/>
      <c r="I182" s="2424"/>
      <c r="J182" s="2424"/>
      <c r="K182" s="2425"/>
      <c r="L182" s="2426" t="s">
        <v>3584</v>
      </c>
      <c r="M182" s="2427"/>
      <c r="N182" s="2427"/>
      <c r="O182" s="2427"/>
      <c r="P182" s="2427"/>
      <c r="Q182" s="2427"/>
      <c r="R182" s="2427"/>
      <c r="S182" s="2428"/>
      <c r="T182" s="2429" t="s">
        <v>3725</v>
      </c>
      <c r="U182" s="2424"/>
      <c r="V182" s="2424"/>
      <c r="W182" s="2424"/>
      <c r="X182" s="2424"/>
      <c r="Y182" s="2424"/>
      <c r="Z182" s="2424"/>
      <c r="AA182" s="2424"/>
      <c r="AB182" s="2430" t="s">
        <v>3723</v>
      </c>
      <c r="AC182" s="2430"/>
      <c r="AD182" s="2430"/>
      <c r="AE182" s="2430"/>
      <c r="AF182" s="1536"/>
      <c r="AG182" s="1536"/>
      <c r="AH182" s="1536"/>
      <c r="AI182" s="1536"/>
      <c r="AJ182" s="1536"/>
      <c r="AM182" s="1536"/>
      <c r="AN182" s="1536"/>
      <c r="AO182" s="1536"/>
      <c r="AP182" s="1536"/>
      <c r="AQ182" s="1536" t="s">
        <v>3726</v>
      </c>
    </row>
    <row r="183" spans="1:43">
      <c r="A183" s="1455"/>
      <c r="B183" s="1455"/>
      <c r="C183" s="1455"/>
      <c r="D183" s="1455"/>
      <c r="E183" s="1455"/>
      <c r="F183" s="2423" t="s">
        <v>3724</v>
      </c>
      <c r="G183" s="2424"/>
      <c r="H183" s="2424"/>
      <c r="I183" s="2424"/>
      <c r="J183" s="2424"/>
      <c r="K183" s="2425"/>
      <c r="L183" s="2426" t="s">
        <v>3727</v>
      </c>
      <c r="M183" s="2427"/>
      <c r="N183" s="2427"/>
      <c r="O183" s="2427"/>
      <c r="P183" s="2427"/>
      <c r="Q183" s="2427"/>
      <c r="R183" s="2427"/>
      <c r="S183" s="2428"/>
      <c r="T183" s="2429" t="s">
        <v>3581</v>
      </c>
      <c r="U183" s="2424"/>
      <c r="V183" s="2424"/>
      <c r="W183" s="2424"/>
      <c r="X183" s="2424"/>
      <c r="Y183" s="2424"/>
      <c r="Z183" s="2424"/>
      <c r="AA183" s="2424"/>
      <c r="AB183" s="2430" t="s">
        <v>3728</v>
      </c>
      <c r="AC183" s="2430"/>
      <c r="AD183" s="2430"/>
      <c r="AE183" s="2430"/>
      <c r="AF183" s="1536"/>
      <c r="AG183" s="1536"/>
      <c r="AH183" s="1536"/>
      <c r="AI183" s="1536"/>
      <c r="AJ183" s="1536"/>
      <c r="AM183" s="1536"/>
      <c r="AN183" s="1536"/>
      <c r="AO183" s="1536"/>
      <c r="AP183" s="1536"/>
      <c r="AQ183" s="1536" t="s">
        <v>3726</v>
      </c>
    </row>
    <row r="184" spans="1:43">
      <c r="A184" s="1455"/>
      <c r="B184" s="1455"/>
      <c r="C184" s="1455"/>
      <c r="D184" s="1455"/>
      <c r="E184" s="1455"/>
      <c r="F184" s="2423" t="s">
        <v>4285</v>
      </c>
      <c r="G184" s="2424"/>
      <c r="H184" s="2424"/>
      <c r="I184" s="2424"/>
      <c r="J184" s="2424"/>
      <c r="K184" s="2425"/>
      <c r="L184" s="2426" t="s">
        <v>3611</v>
      </c>
      <c r="M184" s="2427"/>
      <c r="N184" s="2427"/>
      <c r="O184" s="2427"/>
      <c r="P184" s="2427"/>
      <c r="Q184" s="2427"/>
      <c r="R184" s="2427"/>
      <c r="S184" s="2428"/>
      <c r="T184" s="2429" t="s">
        <v>4286</v>
      </c>
      <c r="U184" s="2424"/>
      <c r="V184" s="2424"/>
      <c r="W184" s="2424"/>
      <c r="X184" s="2424"/>
      <c r="Y184" s="2424"/>
      <c r="Z184" s="2424"/>
      <c r="AA184" s="2424"/>
      <c r="AB184" s="2430" t="s">
        <v>4287</v>
      </c>
      <c r="AC184" s="2430"/>
      <c r="AD184" s="2430"/>
      <c r="AE184" s="2430"/>
      <c r="AF184" s="1536"/>
      <c r="AG184" s="1536"/>
      <c r="AH184" s="1536"/>
      <c r="AI184" s="1536"/>
      <c r="AJ184" s="1536"/>
      <c r="AM184" s="1536"/>
      <c r="AN184" s="1536"/>
      <c r="AO184" s="1536"/>
      <c r="AP184" s="1536"/>
      <c r="AQ184" s="1536"/>
    </row>
    <row r="185" spans="1:43">
      <c r="A185" s="1455"/>
      <c r="B185" s="1455"/>
      <c r="C185" s="1455"/>
      <c r="D185" s="1455"/>
      <c r="E185" s="1455"/>
      <c r="F185" s="2423" t="s">
        <v>4285</v>
      </c>
      <c r="G185" s="2424"/>
      <c r="H185" s="2424"/>
      <c r="I185" s="2424"/>
      <c r="J185" s="2424"/>
      <c r="K185" s="2425"/>
      <c r="L185" s="2426" t="s">
        <v>3611</v>
      </c>
      <c r="M185" s="2427"/>
      <c r="N185" s="2427"/>
      <c r="O185" s="2427"/>
      <c r="P185" s="2427"/>
      <c r="Q185" s="2427"/>
      <c r="R185" s="2427"/>
      <c r="S185" s="2428"/>
      <c r="T185" s="2429" t="s">
        <v>4286</v>
      </c>
      <c r="U185" s="2424"/>
      <c r="V185" s="2424"/>
      <c r="W185" s="2424"/>
      <c r="X185" s="2424"/>
      <c r="Y185" s="2424"/>
      <c r="Z185" s="2424"/>
      <c r="AA185" s="2424"/>
      <c r="AB185" s="2430" t="s">
        <v>4287</v>
      </c>
      <c r="AC185" s="2430"/>
      <c r="AD185" s="2430"/>
      <c r="AE185" s="2430"/>
      <c r="AF185" s="1536"/>
      <c r="AG185" s="1536"/>
      <c r="AH185" s="1536"/>
      <c r="AI185" s="1536"/>
      <c r="AJ185" s="1536"/>
      <c r="AM185" s="1536"/>
      <c r="AN185" s="1536"/>
      <c r="AO185" s="1536"/>
      <c r="AP185" s="1536"/>
      <c r="AQ185" s="1536"/>
    </row>
    <row r="186" spans="1:43">
      <c r="A186" s="1455"/>
      <c r="B186" s="1455"/>
      <c r="C186" s="1455"/>
      <c r="D186" s="1455"/>
      <c r="E186" s="1455"/>
      <c r="F186" s="2423" t="s">
        <v>4285</v>
      </c>
      <c r="G186" s="2424"/>
      <c r="H186" s="2424"/>
      <c r="I186" s="2424"/>
      <c r="J186" s="2424"/>
      <c r="K186" s="2425"/>
      <c r="L186" s="2426" t="s">
        <v>4286</v>
      </c>
      <c r="M186" s="2427"/>
      <c r="N186" s="2427"/>
      <c r="O186" s="2427"/>
      <c r="P186" s="2427"/>
      <c r="Q186" s="2427"/>
      <c r="R186" s="2427"/>
      <c r="S186" s="2428"/>
      <c r="T186" s="2429" t="s">
        <v>3581</v>
      </c>
      <c r="U186" s="2424"/>
      <c r="V186" s="2424"/>
      <c r="W186" s="2424"/>
      <c r="X186" s="2424"/>
      <c r="Y186" s="2424"/>
      <c r="Z186" s="2424"/>
      <c r="AA186" s="2424"/>
      <c r="AB186" s="2430" t="s">
        <v>4293</v>
      </c>
      <c r="AC186" s="2430"/>
      <c r="AD186" s="2430"/>
      <c r="AE186" s="2430"/>
      <c r="AF186" s="1536"/>
      <c r="AG186" s="1536"/>
      <c r="AH186" s="1536"/>
      <c r="AI186" s="1536"/>
      <c r="AJ186" s="1536"/>
      <c r="AM186" s="1536"/>
      <c r="AN186" s="1536"/>
      <c r="AO186" s="1536"/>
      <c r="AP186" s="1536"/>
      <c r="AQ186" s="1536"/>
    </row>
    <row r="187" spans="1:43">
      <c r="A187" s="1455"/>
      <c r="B187" s="1455"/>
      <c r="C187" s="1455"/>
      <c r="D187" s="1455"/>
      <c r="E187" s="1455"/>
      <c r="F187" s="2423" t="s">
        <v>4295</v>
      </c>
      <c r="G187" s="2424"/>
      <c r="H187" s="2424"/>
      <c r="I187" s="2424"/>
      <c r="J187" s="2424"/>
      <c r="K187" s="2425"/>
      <c r="L187" s="2426" t="s">
        <v>3611</v>
      </c>
      <c r="M187" s="2427"/>
      <c r="N187" s="2427"/>
      <c r="O187" s="2427"/>
      <c r="P187" s="2427"/>
      <c r="Q187" s="2427"/>
      <c r="R187" s="2427"/>
      <c r="S187" s="2428"/>
      <c r="T187" s="2429" t="s">
        <v>4298</v>
      </c>
      <c r="U187" s="2424"/>
      <c r="V187" s="2424"/>
      <c r="W187" s="2424"/>
      <c r="X187" s="2424"/>
      <c r="Y187" s="2424"/>
      <c r="Z187" s="2424"/>
      <c r="AA187" s="2424"/>
      <c r="AB187" s="2430" t="s">
        <v>4293</v>
      </c>
      <c r="AC187" s="2430"/>
      <c r="AD187" s="2430"/>
      <c r="AE187" s="2430"/>
      <c r="AF187" s="1536"/>
      <c r="AG187" s="1536"/>
      <c r="AH187" s="1536"/>
      <c r="AI187" s="1536"/>
      <c r="AJ187" s="1536"/>
      <c r="AM187" s="1536"/>
      <c r="AN187" s="1536"/>
      <c r="AO187" s="1536"/>
      <c r="AP187" s="1536"/>
      <c r="AQ187" s="1536"/>
    </row>
    <row r="188" spans="1:43">
      <c r="A188" s="1455"/>
      <c r="B188" s="1455"/>
      <c r="C188" s="1455"/>
      <c r="D188" s="1455"/>
      <c r="E188" s="1455"/>
      <c r="F188" s="2423" t="s">
        <v>4295</v>
      </c>
      <c r="G188" s="2424"/>
      <c r="H188" s="2424"/>
      <c r="I188" s="2424"/>
      <c r="J188" s="2424"/>
      <c r="K188" s="2425"/>
      <c r="L188" s="2426" t="s">
        <v>4297</v>
      </c>
      <c r="M188" s="2427"/>
      <c r="N188" s="2427"/>
      <c r="O188" s="2427"/>
      <c r="P188" s="2427"/>
      <c r="Q188" s="2427"/>
      <c r="R188" s="2427"/>
      <c r="S188" s="2428"/>
      <c r="T188" s="2429" t="s">
        <v>3581</v>
      </c>
      <c r="U188" s="2424"/>
      <c r="V188" s="2424"/>
      <c r="W188" s="2424"/>
      <c r="X188" s="2424"/>
      <c r="Y188" s="2424"/>
      <c r="Z188" s="2424"/>
      <c r="AA188" s="2424"/>
      <c r="AB188" s="2430" t="s">
        <v>4299</v>
      </c>
      <c r="AC188" s="2430"/>
      <c r="AD188" s="2430"/>
      <c r="AE188" s="2430"/>
      <c r="AF188" s="1536"/>
      <c r="AG188" s="1536"/>
      <c r="AH188" s="1536"/>
      <c r="AI188" s="1536"/>
      <c r="AJ188" s="1536"/>
      <c r="AM188" s="1536"/>
      <c r="AN188" s="1536"/>
      <c r="AO188" s="1536"/>
      <c r="AP188" s="1536"/>
      <c r="AQ188" s="1536"/>
    </row>
    <row r="189" spans="1:43">
      <c r="A189" s="1455"/>
      <c r="B189" s="1455"/>
      <c r="C189" s="1455"/>
      <c r="D189" s="1455"/>
      <c r="E189" s="1455"/>
      <c r="F189" s="2423" t="s">
        <v>4296</v>
      </c>
      <c r="G189" s="2424"/>
      <c r="H189" s="2424"/>
      <c r="I189" s="2424"/>
      <c r="J189" s="2424"/>
      <c r="K189" s="2425"/>
      <c r="L189" s="2426" t="s">
        <v>3611</v>
      </c>
      <c r="M189" s="2427"/>
      <c r="N189" s="2427"/>
      <c r="O189" s="2427"/>
      <c r="P189" s="2427"/>
      <c r="Q189" s="2427"/>
      <c r="R189" s="2427"/>
      <c r="S189" s="2428"/>
      <c r="T189" s="2429" t="s">
        <v>4320</v>
      </c>
      <c r="U189" s="2424"/>
      <c r="V189" s="2424"/>
      <c r="W189" s="2424"/>
      <c r="X189" s="2424"/>
      <c r="Y189" s="2424"/>
      <c r="Z189" s="2424"/>
      <c r="AA189" s="2424"/>
      <c r="AB189" s="2430" t="s">
        <v>4299</v>
      </c>
      <c r="AC189" s="2430"/>
      <c r="AD189" s="2430"/>
      <c r="AE189" s="2430"/>
      <c r="AF189" s="1536"/>
      <c r="AG189" s="1536"/>
      <c r="AH189" s="1536"/>
      <c r="AI189" s="1536"/>
      <c r="AJ189" s="1536"/>
      <c r="AM189" s="1536"/>
      <c r="AN189" s="1536"/>
      <c r="AO189" s="1536"/>
      <c r="AP189" s="1536"/>
      <c r="AQ189" s="1536"/>
    </row>
    <row r="190" spans="1:43">
      <c r="A190" s="1455"/>
      <c r="B190" s="1455"/>
      <c r="C190" s="1455"/>
      <c r="D190" s="1455"/>
      <c r="E190" s="1455"/>
      <c r="F190" s="2423" t="s">
        <v>4296</v>
      </c>
      <c r="G190" s="2424"/>
      <c r="H190" s="2424"/>
      <c r="I190" s="2424"/>
      <c r="J190" s="2424"/>
      <c r="K190" s="2425"/>
      <c r="L190" s="2426" t="s">
        <v>4321</v>
      </c>
      <c r="M190" s="2427"/>
      <c r="N190" s="2427"/>
      <c r="O190" s="2427"/>
      <c r="P190" s="2427"/>
      <c r="Q190" s="2427"/>
      <c r="R190" s="2427"/>
      <c r="S190" s="2428"/>
      <c r="T190" s="2429" t="s">
        <v>4322</v>
      </c>
      <c r="U190" s="2424"/>
      <c r="V190" s="2424"/>
      <c r="W190" s="2424"/>
      <c r="X190" s="2424"/>
      <c r="Y190" s="2424"/>
      <c r="Z190" s="2424"/>
      <c r="AA190" s="2424"/>
      <c r="AB190" s="2430" t="s">
        <v>4323</v>
      </c>
      <c r="AC190" s="2430"/>
      <c r="AD190" s="2430"/>
      <c r="AE190" s="2430"/>
      <c r="AF190" s="1536"/>
      <c r="AG190" s="1536"/>
      <c r="AH190" s="1536"/>
      <c r="AI190" s="1536"/>
      <c r="AJ190" s="1536"/>
      <c r="AM190" s="1536"/>
      <c r="AN190" s="1536"/>
      <c r="AO190" s="1536"/>
      <c r="AP190" s="1536"/>
      <c r="AQ190" s="1536"/>
    </row>
    <row r="191" spans="1:43">
      <c r="A191" s="1455"/>
      <c r="B191" s="1455"/>
      <c r="C191" s="1455"/>
      <c r="D191" s="1455"/>
      <c r="E191" s="1455"/>
      <c r="F191" s="2423" t="s">
        <v>4326</v>
      </c>
      <c r="G191" s="2424"/>
      <c r="H191" s="2424"/>
      <c r="I191" s="2424"/>
      <c r="J191" s="2424"/>
      <c r="K191" s="2425"/>
      <c r="L191" s="2426" t="s">
        <v>4327</v>
      </c>
      <c r="M191" s="2427"/>
      <c r="N191" s="2427"/>
      <c r="O191" s="2427"/>
      <c r="P191" s="2427"/>
      <c r="Q191" s="2427"/>
      <c r="R191" s="2427"/>
      <c r="S191" s="2428"/>
      <c r="T191" s="2429" t="s">
        <v>4328</v>
      </c>
      <c r="U191" s="2424"/>
      <c r="V191" s="2424"/>
      <c r="W191" s="2424"/>
      <c r="X191" s="2424"/>
      <c r="Y191" s="2424"/>
      <c r="Z191" s="2424"/>
      <c r="AA191" s="2424"/>
      <c r="AB191" s="2430" t="s">
        <v>4329</v>
      </c>
      <c r="AC191" s="2430"/>
      <c r="AD191" s="2430"/>
      <c r="AE191" s="2430"/>
      <c r="AF191" s="1536"/>
      <c r="AG191" s="1536"/>
      <c r="AH191" s="1536"/>
      <c r="AI191" s="1536"/>
      <c r="AJ191" s="1536"/>
      <c r="AM191" s="1536"/>
      <c r="AN191" s="1536"/>
      <c r="AO191" s="1536"/>
      <c r="AP191" s="1536">
        <v>934904114</v>
      </c>
      <c r="AQ191" s="1536"/>
    </row>
    <row r="192" spans="1:43">
      <c r="A192" s="1455"/>
      <c r="B192" s="1455"/>
      <c r="C192" s="1455"/>
      <c r="D192" s="1455"/>
      <c r="E192" s="1455"/>
      <c r="F192" s="2423" t="s">
        <v>4326</v>
      </c>
      <c r="G192" s="2424"/>
      <c r="H192" s="2424"/>
      <c r="I192" s="2424"/>
      <c r="J192" s="2424"/>
      <c r="K192" s="2425"/>
      <c r="L192" s="2426" t="s">
        <v>4330</v>
      </c>
      <c r="M192" s="2427"/>
      <c r="N192" s="2427"/>
      <c r="O192" s="2427"/>
      <c r="P192" s="2427"/>
      <c r="Q192" s="2427"/>
      <c r="R192" s="2427"/>
      <c r="S192" s="2428"/>
      <c r="T192" s="2429" t="s">
        <v>4331</v>
      </c>
      <c r="U192" s="2424"/>
      <c r="V192" s="2424"/>
      <c r="W192" s="2424"/>
      <c r="X192" s="2424"/>
      <c r="Y192" s="2424"/>
      <c r="Z192" s="2424"/>
      <c r="AA192" s="2424"/>
      <c r="AB192" s="2430" t="s">
        <v>4332</v>
      </c>
      <c r="AC192" s="2430"/>
      <c r="AD192" s="2430"/>
      <c r="AE192" s="2430"/>
      <c r="AF192" s="1536"/>
      <c r="AG192" s="1536"/>
      <c r="AH192" s="1536"/>
      <c r="AI192" s="1536"/>
      <c r="AJ192" s="1536"/>
      <c r="AM192" s="1536"/>
      <c r="AN192" s="1536"/>
      <c r="AO192" s="1536"/>
      <c r="AP192" s="1455"/>
    </row>
    <row r="193" spans="1:42">
      <c r="A193" s="1455"/>
      <c r="B193" s="1455"/>
      <c r="C193" s="1455"/>
      <c r="D193" s="1455"/>
      <c r="E193" s="1455"/>
      <c r="F193" s="2423" t="s">
        <v>4326</v>
      </c>
      <c r="G193" s="2424"/>
      <c r="H193" s="2424"/>
      <c r="I193" s="2424"/>
      <c r="J193" s="2424"/>
      <c r="K193" s="2425"/>
      <c r="L193" s="2426" t="s">
        <v>4351</v>
      </c>
      <c r="M193" s="2427"/>
      <c r="N193" s="2427"/>
      <c r="O193" s="2427"/>
      <c r="P193" s="2427"/>
      <c r="Q193" s="2427"/>
      <c r="R193" s="2427"/>
      <c r="S193" s="2428"/>
      <c r="T193" s="2429" t="s">
        <v>4352</v>
      </c>
      <c r="U193" s="2424"/>
      <c r="V193" s="2424"/>
      <c r="W193" s="2424"/>
      <c r="X193" s="2424"/>
      <c r="Y193" s="2424"/>
      <c r="Z193" s="2424"/>
      <c r="AA193" s="2424"/>
      <c r="AB193" s="2430" t="s">
        <v>4353</v>
      </c>
      <c r="AC193" s="2430"/>
      <c r="AD193" s="2430"/>
      <c r="AE193" s="2430"/>
      <c r="AF193" s="1536"/>
      <c r="AG193" s="1536"/>
      <c r="AH193" s="1536"/>
      <c r="AI193" s="1536"/>
      <c r="AJ193" s="1536"/>
      <c r="AM193" s="1536"/>
      <c r="AN193" s="1536"/>
      <c r="AO193" s="1536"/>
      <c r="AP193" s="1455"/>
    </row>
    <row r="194" spans="1:42">
      <c r="A194" s="1455"/>
      <c r="B194" s="1455"/>
      <c r="C194" s="1459"/>
      <c r="D194" s="1551"/>
      <c r="E194" s="1551"/>
      <c r="F194" s="2431" t="s">
        <v>4326</v>
      </c>
      <c r="G194" s="2432"/>
      <c r="H194" s="2432"/>
      <c r="I194" s="2432"/>
      <c r="J194" s="2432"/>
      <c r="K194" s="2433"/>
      <c r="L194" s="2434" t="s">
        <v>4352</v>
      </c>
      <c r="M194" s="2435"/>
      <c r="N194" s="2435"/>
      <c r="O194" s="2435"/>
      <c r="P194" s="2435"/>
      <c r="Q194" s="2435"/>
      <c r="R194" s="2435"/>
      <c r="S194" s="2436"/>
      <c r="T194" s="2437" t="s">
        <v>3581</v>
      </c>
      <c r="U194" s="2432"/>
      <c r="V194" s="2432"/>
      <c r="W194" s="2432"/>
      <c r="X194" s="2432"/>
      <c r="Y194" s="2432"/>
      <c r="Z194" s="2432"/>
      <c r="AA194" s="2432"/>
      <c r="AB194" s="2430" t="s">
        <v>4370</v>
      </c>
      <c r="AC194" s="2430"/>
      <c r="AD194" s="2430"/>
      <c r="AE194" s="2430"/>
      <c r="AF194" s="1551"/>
      <c r="AG194" s="1551"/>
      <c r="AH194" s="1551"/>
      <c r="AI194" s="1551"/>
      <c r="AJ194" s="1551"/>
      <c r="AK194" s="1551"/>
      <c r="AL194" s="1551"/>
      <c r="AM194" s="1551"/>
      <c r="AN194" s="1551"/>
      <c r="AO194" s="1551"/>
      <c r="AP194" s="1455"/>
    </row>
    <row r="195" spans="1:42">
      <c r="F195" s="2431" t="s">
        <v>4376</v>
      </c>
      <c r="G195" s="2432"/>
      <c r="H195" s="2432"/>
      <c r="I195" s="2432"/>
      <c r="J195" s="2432"/>
      <c r="K195" s="2433"/>
      <c r="L195" s="2434" t="s">
        <v>4327</v>
      </c>
      <c r="M195" s="2435"/>
      <c r="N195" s="2435"/>
      <c r="O195" s="2435"/>
      <c r="P195" s="2435"/>
      <c r="Q195" s="2435"/>
      <c r="R195" s="2435"/>
      <c r="S195" s="2436"/>
      <c r="T195" s="2437" t="s">
        <v>4298</v>
      </c>
      <c r="U195" s="2432"/>
      <c r="V195" s="2432"/>
      <c r="W195" s="2432"/>
      <c r="X195" s="2432"/>
      <c r="Y195" s="2432"/>
      <c r="Z195" s="2432"/>
      <c r="AA195" s="2432"/>
      <c r="AB195" s="2430" t="s">
        <v>4377</v>
      </c>
      <c r="AC195" s="2430"/>
      <c r="AD195" s="2430"/>
      <c r="AE195" s="2430"/>
    </row>
  </sheetData>
  <mergeCells count="715">
    <mergeCell ref="F194:K194"/>
    <mergeCell ref="L194:S194"/>
    <mergeCell ref="T194:AA194"/>
    <mergeCell ref="AB194:AE194"/>
    <mergeCell ref="I61:U61"/>
    <mergeCell ref="V61:X61"/>
    <mergeCell ref="Z61:AC61"/>
    <mergeCell ref="AD61:AF61"/>
    <mergeCell ref="AG61:AI61"/>
    <mergeCell ref="G140:K140"/>
    <mergeCell ref="F184:K184"/>
    <mergeCell ref="L184:S184"/>
    <mergeCell ref="T184:AA184"/>
    <mergeCell ref="AB184:AE184"/>
    <mergeCell ref="F183:K183"/>
    <mergeCell ref="L183:S183"/>
    <mergeCell ref="T183:AA183"/>
    <mergeCell ref="AB183:AE183"/>
    <mergeCell ref="F181:K181"/>
    <mergeCell ref="L181:S181"/>
    <mergeCell ref="T181:AA181"/>
    <mergeCell ref="AB181:AE181"/>
    <mergeCell ref="F182:K182"/>
    <mergeCell ref="L182:S182"/>
    <mergeCell ref="T182:AA182"/>
    <mergeCell ref="AB182:AE182"/>
    <mergeCell ref="F179:K179"/>
    <mergeCell ref="L179:S179"/>
    <mergeCell ref="T179:AA179"/>
    <mergeCell ref="AB179:AE179"/>
    <mergeCell ref="F180:K180"/>
    <mergeCell ref="L180:S180"/>
    <mergeCell ref="T180:AA180"/>
    <mergeCell ref="AB180:AE180"/>
    <mergeCell ref="F177:K177"/>
    <mergeCell ref="L177:S177"/>
    <mergeCell ref="T177:AA177"/>
    <mergeCell ref="AB177:AE177"/>
    <mergeCell ref="F178:K178"/>
    <mergeCell ref="L178:S178"/>
    <mergeCell ref="T178:AA178"/>
    <mergeCell ref="AB178:AE178"/>
    <mergeCell ref="F175:K175"/>
    <mergeCell ref="L175:S175"/>
    <mergeCell ref="T175:AA175"/>
    <mergeCell ref="AB175:AE175"/>
    <mergeCell ref="F176:K176"/>
    <mergeCell ref="L176:S176"/>
    <mergeCell ref="T176:AA176"/>
    <mergeCell ref="AB176:AE176"/>
    <mergeCell ref="F173:K173"/>
    <mergeCell ref="L173:S173"/>
    <mergeCell ref="T173:AA173"/>
    <mergeCell ref="AB173:AE173"/>
    <mergeCell ref="F174:K174"/>
    <mergeCell ref="L174:S174"/>
    <mergeCell ref="T174:AA174"/>
    <mergeCell ref="AB174:AE174"/>
    <mergeCell ref="F171:K171"/>
    <mergeCell ref="L171:S171"/>
    <mergeCell ref="T171:AA171"/>
    <mergeCell ref="AB171:AE171"/>
    <mergeCell ref="F172:K172"/>
    <mergeCell ref="L172:S172"/>
    <mergeCell ref="T172:AA172"/>
    <mergeCell ref="AB172:AE172"/>
    <mergeCell ref="F169:K169"/>
    <mergeCell ref="L169:S169"/>
    <mergeCell ref="T169:AA169"/>
    <mergeCell ref="AB169:AE169"/>
    <mergeCell ref="F170:K170"/>
    <mergeCell ref="L170:S170"/>
    <mergeCell ref="T170:AA170"/>
    <mergeCell ref="AB170:AE170"/>
    <mergeCell ref="F167:K167"/>
    <mergeCell ref="L167:S167"/>
    <mergeCell ref="T167:AA167"/>
    <mergeCell ref="AB167:AE167"/>
    <mergeCell ref="F168:K168"/>
    <mergeCell ref="L168:S168"/>
    <mergeCell ref="T168:AA168"/>
    <mergeCell ref="AB168:AE168"/>
    <mergeCell ref="F165:K165"/>
    <mergeCell ref="L165:S165"/>
    <mergeCell ref="T165:AA165"/>
    <mergeCell ref="AB165:AE165"/>
    <mergeCell ref="F166:K166"/>
    <mergeCell ref="L166:S166"/>
    <mergeCell ref="T166:AA166"/>
    <mergeCell ref="AB166:AE166"/>
    <mergeCell ref="F163:K163"/>
    <mergeCell ref="L163:S163"/>
    <mergeCell ref="T163:AA163"/>
    <mergeCell ref="AB163:AE163"/>
    <mergeCell ref="F164:K164"/>
    <mergeCell ref="L164:S164"/>
    <mergeCell ref="T164:AA164"/>
    <mergeCell ref="AB164:AE164"/>
    <mergeCell ref="F161:K161"/>
    <mergeCell ref="L161:S161"/>
    <mergeCell ref="T161:AA161"/>
    <mergeCell ref="AB161:AE161"/>
    <mergeCell ref="F162:K162"/>
    <mergeCell ref="L162:S162"/>
    <mergeCell ref="T162:AA162"/>
    <mergeCell ref="AB162:AE162"/>
    <mergeCell ref="F159:K159"/>
    <mergeCell ref="L159:S159"/>
    <mergeCell ref="T159:AA159"/>
    <mergeCell ref="AB159:AE159"/>
    <mergeCell ref="F160:K160"/>
    <mergeCell ref="L160:S160"/>
    <mergeCell ref="T160:AA160"/>
    <mergeCell ref="AB160:AE160"/>
    <mergeCell ref="F157:K157"/>
    <mergeCell ref="L157:S157"/>
    <mergeCell ref="T157:AA157"/>
    <mergeCell ref="AB157:AE157"/>
    <mergeCell ref="F158:K158"/>
    <mergeCell ref="L158:S158"/>
    <mergeCell ref="T158:AA158"/>
    <mergeCell ref="AB158:AE158"/>
    <mergeCell ref="F155:K155"/>
    <mergeCell ref="L155:S155"/>
    <mergeCell ref="T155:AA155"/>
    <mergeCell ref="AB155:AE155"/>
    <mergeCell ref="F156:K156"/>
    <mergeCell ref="L156:S156"/>
    <mergeCell ref="T156:AA156"/>
    <mergeCell ref="AB156:AE156"/>
    <mergeCell ref="F153:K153"/>
    <mergeCell ref="L153:S153"/>
    <mergeCell ref="T153:AA153"/>
    <mergeCell ref="AB153:AE153"/>
    <mergeCell ref="F154:K154"/>
    <mergeCell ref="L154:S154"/>
    <mergeCell ref="T154:AA154"/>
    <mergeCell ref="AB154:AE154"/>
    <mergeCell ref="L150:AA150"/>
    <mergeCell ref="AB150:AE151"/>
    <mergeCell ref="L151:S151"/>
    <mergeCell ref="T151:AA151"/>
    <mergeCell ref="F152:K152"/>
    <mergeCell ref="L152:S152"/>
    <mergeCell ref="T152:AA152"/>
    <mergeCell ref="AB152:AE152"/>
    <mergeCell ref="AG141:AH141"/>
    <mergeCell ref="AI141:AM141"/>
    <mergeCell ref="AN141:AO141"/>
    <mergeCell ref="X142:Z142"/>
    <mergeCell ref="D143:AO143"/>
    <mergeCell ref="C147:AO147"/>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AI138:AO138"/>
    <mergeCell ref="L139:P139"/>
    <mergeCell ref="Q139:R139"/>
    <mergeCell ref="S139:X139"/>
    <mergeCell ref="Y139:Z139"/>
    <mergeCell ref="AA139:AF139"/>
    <mergeCell ref="AG139:AH139"/>
    <mergeCell ref="AI139:AM139"/>
    <mergeCell ref="AN139:AO139"/>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3:W133"/>
    <mergeCell ref="X133:Z133"/>
    <mergeCell ref="AA133:AC133"/>
    <mergeCell ref="AD133:AG133"/>
    <mergeCell ref="AH133:AJ133"/>
    <mergeCell ref="AK133:AM133"/>
    <mergeCell ref="U132:W132"/>
    <mergeCell ref="X132:Z132"/>
    <mergeCell ref="AA132:AC132"/>
    <mergeCell ref="AD132:AG132"/>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1:W131"/>
    <mergeCell ref="X131:Z131"/>
    <mergeCell ref="AA131:AC131"/>
    <mergeCell ref="AD131:AG131"/>
    <mergeCell ref="AH131:AJ131"/>
    <mergeCell ref="AK131:AM131"/>
    <mergeCell ref="X130:Z130"/>
    <mergeCell ref="AA130:AC130"/>
    <mergeCell ref="AH130:AJ130"/>
    <mergeCell ref="AK130:AM130"/>
    <mergeCell ref="U130:W130"/>
    <mergeCell ref="D131:E131"/>
    <mergeCell ref="F131:H131"/>
    <mergeCell ref="I131:K131"/>
    <mergeCell ref="L131:N131"/>
    <mergeCell ref="O131:Q131"/>
    <mergeCell ref="R131:T131"/>
    <mergeCell ref="F130:H130"/>
    <mergeCell ref="I130:K130"/>
    <mergeCell ref="L130:N130"/>
    <mergeCell ref="O130:Q130"/>
    <mergeCell ref="R130:T130"/>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C101:F101"/>
    <mergeCell ref="G101:K101"/>
    <mergeCell ref="L101:P101"/>
    <mergeCell ref="Q101:R101"/>
    <mergeCell ref="Y101:Z101"/>
    <mergeCell ref="AA101:AF101"/>
    <mergeCell ref="AG101:AH101"/>
    <mergeCell ref="AI101:AM101"/>
    <mergeCell ref="S101:W101"/>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E76:AB76"/>
    <mergeCell ref="AC76:AD76"/>
    <mergeCell ref="E78:AB78"/>
    <mergeCell ref="AC78:AD78"/>
    <mergeCell ref="G63:U63"/>
    <mergeCell ref="V63:X63"/>
    <mergeCell ref="G65:U65"/>
    <mergeCell ref="V65:X65"/>
    <mergeCell ref="AA87:AF87"/>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V40:X40"/>
    <mergeCell ref="Y40:AA40"/>
    <mergeCell ref="AB40:AD40"/>
    <mergeCell ref="AF40:AH40"/>
    <mergeCell ref="AI40:AK40"/>
    <mergeCell ref="V41:X41"/>
    <mergeCell ref="Y41:AA41"/>
    <mergeCell ref="AB41:AD41"/>
    <mergeCell ref="AF41:AH41"/>
    <mergeCell ref="AI41:AK41"/>
    <mergeCell ref="V38:X38"/>
    <mergeCell ref="Y38:AA38"/>
    <mergeCell ref="AB38:AD38"/>
    <mergeCell ref="AF38:AH38"/>
    <mergeCell ref="AI38:AK38"/>
    <mergeCell ref="V39:X39"/>
    <mergeCell ref="Y39:AA39"/>
    <mergeCell ref="AB39:AD39"/>
    <mergeCell ref="AF39:AH39"/>
    <mergeCell ref="AI39:AK3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F185:K185"/>
    <mergeCell ref="L185:S185"/>
    <mergeCell ref="T185:AA185"/>
    <mergeCell ref="AB185:AE185"/>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AB187:AE187"/>
    <mergeCell ref="F189:K189"/>
    <mergeCell ref="L189:S189"/>
    <mergeCell ref="T189:AA189"/>
    <mergeCell ref="AB189:AE189"/>
    <mergeCell ref="F186:K186"/>
    <mergeCell ref="L186:S186"/>
    <mergeCell ref="T186:AA186"/>
    <mergeCell ref="AB186:AE186"/>
    <mergeCell ref="F188:K188"/>
    <mergeCell ref="L188:S188"/>
    <mergeCell ref="T188:AA188"/>
    <mergeCell ref="AB188:AE188"/>
    <mergeCell ref="F193:K193"/>
    <mergeCell ref="L193:S193"/>
    <mergeCell ref="T193:AA193"/>
    <mergeCell ref="AB193:AE193"/>
    <mergeCell ref="F195:K195"/>
    <mergeCell ref="L195:S195"/>
    <mergeCell ref="T195:AA195"/>
    <mergeCell ref="AB195:AE195"/>
    <mergeCell ref="S102:W102"/>
    <mergeCell ref="F192:K192"/>
    <mergeCell ref="L192:S192"/>
    <mergeCell ref="T192:AA192"/>
    <mergeCell ref="AB192:AE192"/>
    <mergeCell ref="F191:K191"/>
    <mergeCell ref="L191:S191"/>
    <mergeCell ref="T191:AA191"/>
    <mergeCell ref="AB191:AE191"/>
    <mergeCell ref="F190:K190"/>
    <mergeCell ref="L190:S190"/>
    <mergeCell ref="T190:AA190"/>
    <mergeCell ref="AB190:AE190"/>
    <mergeCell ref="F187:K187"/>
    <mergeCell ref="L187:S187"/>
    <mergeCell ref="T187:AA18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5" max="40" man="1"/>
    <brk id="147"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670" zoomScaleNormal="85" zoomScaleSheetLayoutView="100" workbookViewId="0">
      <selection activeCell="F732" sqref="F732"/>
    </sheetView>
  </sheetViews>
  <sheetFormatPr baseColWidth="10" defaultRowHeight="13.2"/>
  <cols>
    <col min="1" max="1" width="11.5546875" style="1215"/>
    <col min="2" max="2" width="2.5546875" style="2139" customWidth="1"/>
    <col min="3" max="3" width="13.44140625" style="1215" customWidth="1"/>
    <col min="4" max="4" width="64.44140625" style="1225" customWidth="1"/>
    <col min="5" max="5" width="10.5546875" style="1218" customWidth="1"/>
    <col min="6" max="6" width="10.88671875" style="2316"/>
    <col min="7" max="7" width="2.109375" style="2295" customWidth="1"/>
    <col min="8" max="228" width="10.88671875" style="1215"/>
    <col min="229" max="229" width="8.5546875" style="1215" customWidth="1"/>
    <col min="230" max="230" width="50" style="1215" customWidth="1"/>
    <col min="231" max="231" width="6.44140625" style="1215" bestFit="1" customWidth="1"/>
    <col min="232" max="233" width="8.5546875" style="1215" customWidth="1"/>
    <col min="234" max="234" width="11.44140625" style="1215" bestFit="1" customWidth="1"/>
    <col min="235" max="235" width="7.5546875" style="1215" bestFit="1" customWidth="1"/>
    <col min="236" max="236" width="11.5546875" style="1215" bestFit="1" customWidth="1"/>
    <col min="237" max="237" width="8" style="1215" bestFit="1" customWidth="1"/>
    <col min="238" max="238" width="11.5546875" style="1215" bestFit="1" customWidth="1"/>
    <col min="239" max="239" width="8.44140625" style="1215" bestFit="1" customWidth="1"/>
    <col min="240" max="240" width="11.5546875" style="1215" bestFit="1" customWidth="1"/>
    <col min="241" max="241" width="8.44140625" style="1215" customWidth="1"/>
    <col min="242" max="242" width="7.44140625" style="1215" bestFit="1" customWidth="1"/>
    <col min="243" max="243" width="11.5546875" style="1215" bestFit="1" customWidth="1"/>
    <col min="244" max="244" width="8.44140625" style="1215" customWidth="1"/>
    <col min="245" max="245" width="13" style="1215" bestFit="1" customWidth="1"/>
    <col min="246" max="484" width="10.88671875" style="1215"/>
    <col min="485" max="485" width="8.5546875" style="1215" customWidth="1"/>
    <col min="486" max="486" width="50" style="1215" customWidth="1"/>
    <col min="487" max="487" width="6.44140625" style="1215" bestFit="1" customWidth="1"/>
    <col min="488" max="489" width="8.5546875" style="1215" customWidth="1"/>
    <col min="490" max="490" width="11.44140625" style="1215" bestFit="1" customWidth="1"/>
    <col min="491" max="491" width="7.5546875" style="1215" bestFit="1" customWidth="1"/>
    <col min="492" max="492" width="11.5546875" style="1215" bestFit="1" customWidth="1"/>
    <col min="493" max="493" width="8" style="1215" bestFit="1" customWidth="1"/>
    <col min="494" max="494" width="11.5546875" style="1215" bestFit="1" customWidth="1"/>
    <col min="495" max="495" width="8.44140625" style="1215" bestFit="1" customWidth="1"/>
    <col min="496" max="496" width="11.5546875" style="1215" bestFit="1" customWidth="1"/>
    <col min="497" max="497" width="8.44140625" style="1215" customWidth="1"/>
    <col min="498" max="498" width="7.44140625" style="1215" bestFit="1" customWidth="1"/>
    <col min="499" max="499" width="11.5546875" style="1215" bestFit="1" customWidth="1"/>
    <col min="500" max="500" width="8.44140625" style="1215" customWidth="1"/>
    <col min="501" max="501" width="13" style="1215" bestFit="1" customWidth="1"/>
    <col min="502" max="740" width="10.88671875" style="1215"/>
    <col min="741" max="741" width="8.5546875" style="1215" customWidth="1"/>
    <col min="742" max="742" width="50" style="1215" customWidth="1"/>
    <col min="743" max="743" width="6.44140625" style="1215" bestFit="1" customWidth="1"/>
    <col min="744" max="745" width="8.5546875" style="1215" customWidth="1"/>
    <col min="746" max="746" width="11.44140625" style="1215" bestFit="1" customWidth="1"/>
    <col min="747" max="747" width="7.5546875" style="1215" bestFit="1" customWidth="1"/>
    <col min="748" max="748" width="11.5546875" style="1215" bestFit="1" customWidth="1"/>
    <col min="749" max="749" width="8" style="1215" bestFit="1" customWidth="1"/>
    <col min="750" max="750" width="11.5546875" style="1215" bestFit="1" customWidth="1"/>
    <col min="751" max="751" width="8.44140625" style="1215" bestFit="1" customWidth="1"/>
    <col min="752" max="752" width="11.5546875" style="1215" bestFit="1" customWidth="1"/>
    <col min="753" max="753" width="8.44140625" style="1215" customWidth="1"/>
    <col min="754" max="754" width="7.44140625" style="1215" bestFit="1" customWidth="1"/>
    <col min="755" max="755" width="11.5546875" style="1215" bestFit="1" customWidth="1"/>
    <col min="756" max="756" width="8.44140625" style="1215" customWidth="1"/>
    <col min="757" max="757" width="13" style="1215" bestFit="1" customWidth="1"/>
    <col min="758" max="996" width="10.88671875" style="1215"/>
    <col min="997" max="997" width="8.5546875" style="1215" customWidth="1"/>
    <col min="998" max="998" width="50" style="1215" customWidth="1"/>
    <col min="999" max="999" width="6.44140625" style="1215" bestFit="1" customWidth="1"/>
    <col min="1000" max="1001" width="8.5546875" style="1215" customWidth="1"/>
    <col min="1002" max="1002" width="11.44140625" style="1215" bestFit="1" customWidth="1"/>
    <col min="1003" max="1003" width="7.5546875" style="1215" bestFit="1" customWidth="1"/>
    <col min="1004" max="1004" width="11.5546875" style="1215" bestFit="1" customWidth="1"/>
    <col min="1005" max="1005" width="8" style="1215" bestFit="1" customWidth="1"/>
    <col min="1006" max="1006" width="11.5546875" style="1215" bestFit="1" customWidth="1"/>
    <col min="1007" max="1007" width="8.44140625" style="1215" bestFit="1" customWidth="1"/>
    <col min="1008" max="1008" width="11.5546875" style="1215" bestFit="1" customWidth="1"/>
    <col min="1009" max="1009" width="8.44140625" style="1215" customWidth="1"/>
    <col min="1010" max="1010" width="7.44140625" style="1215" bestFit="1" customWidth="1"/>
    <col min="1011" max="1011" width="11.5546875" style="1215" bestFit="1" customWidth="1"/>
    <col min="1012" max="1012" width="8.44140625" style="1215" customWidth="1"/>
    <col min="1013" max="1013" width="13" style="1215" bestFit="1" customWidth="1"/>
    <col min="1014" max="1252" width="10.88671875" style="1215"/>
    <col min="1253" max="1253" width="8.5546875" style="1215" customWidth="1"/>
    <col min="1254" max="1254" width="50" style="1215" customWidth="1"/>
    <col min="1255" max="1255" width="6.44140625" style="1215" bestFit="1" customWidth="1"/>
    <col min="1256" max="1257" width="8.5546875" style="1215" customWidth="1"/>
    <col min="1258" max="1258" width="11.44140625" style="1215" bestFit="1" customWidth="1"/>
    <col min="1259" max="1259" width="7.5546875" style="1215" bestFit="1" customWidth="1"/>
    <col min="1260" max="1260" width="11.5546875" style="1215" bestFit="1" customWidth="1"/>
    <col min="1261" max="1261" width="8" style="1215" bestFit="1" customWidth="1"/>
    <col min="1262" max="1262" width="11.5546875" style="1215" bestFit="1" customWidth="1"/>
    <col min="1263" max="1263" width="8.44140625" style="1215" bestFit="1" customWidth="1"/>
    <col min="1264" max="1264" width="11.5546875" style="1215" bestFit="1" customWidth="1"/>
    <col min="1265" max="1265" width="8.44140625" style="1215" customWidth="1"/>
    <col min="1266" max="1266" width="7.44140625" style="1215" bestFit="1" customWidth="1"/>
    <col min="1267" max="1267" width="11.5546875" style="1215" bestFit="1" customWidth="1"/>
    <col min="1268" max="1268" width="8.44140625" style="1215" customWidth="1"/>
    <col min="1269" max="1269" width="13" style="1215" bestFit="1" customWidth="1"/>
    <col min="1270" max="1508" width="10.88671875" style="1215"/>
    <col min="1509" max="1509" width="8.5546875" style="1215" customWidth="1"/>
    <col min="1510" max="1510" width="50" style="1215" customWidth="1"/>
    <col min="1511" max="1511" width="6.44140625" style="1215" bestFit="1" customWidth="1"/>
    <col min="1512" max="1513" width="8.5546875" style="1215" customWidth="1"/>
    <col min="1514" max="1514" width="11.44140625" style="1215" bestFit="1" customWidth="1"/>
    <col min="1515" max="1515" width="7.5546875" style="1215" bestFit="1" customWidth="1"/>
    <col min="1516" max="1516" width="11.5546875" style="1215" bestFit="1" customWidth="1"/>
    <col min="1517" max="1517" width="8" style="1215" bestFit="1" customWidth="1"/>
    <col min="1518" max="1518" width="11.5546875" style="1215" bestFit="1" customWidth="1"/>
    <col min="1519" max="1519" width="8.44140625" style="1215" bestFit="1" customWidth="1"/>
    <col min="1520" max="1520" width="11.5546875" style="1215" bestFit="1" customWidth="1"/>
    <col min="1521" max="1521" width="8.44140625" style="1215" customWidth="1"/>
    <col min="1522" max="1522" width="7.44140625" style="1215" bestFit="1" customWidth="1"/>
    <col min="1523" max="1523" width="11.5546875" style="1215" bestFit="1" customWidth="1"/>
    <col min="1524" max="1524" width="8.44140625" style="1215" customWidth="1"/>
    <col min="1525" max="1525" width="13" style="1215" bestFit="1" customWidth="1"/>
    <col min="1526" max="1764" width="10.88671875" style="1215"/>
    <col min="1765" max="1765" width="8.5546875" style="1215" customWidth="1"/>
    <col min="1766" max="1766" width="50" style="1215" customWidth="1"/>
    <col min="1767" max="1767" width="6.44140625" style="1215" bestFit="1" customWidth="1"/>
    <col min="1768" max="1769" width="8.5546875" style="1215" customWidth="1"/>
    <col min="1770" max="1770" width="11.44140625" style="1215" bestFit="1" customWidth="1"/>
    <col min="1771" max="1771" width="7.5546875" style="1215" bestFit="1" customWidth="1"/>
    <col min="1772" max="1772" width="11.5546875" style="1215" bestFit="1" customWidth="1"/>
    <col min="1773" max="1773" width="8" style="1215" bestFit="1" customWidth="1"/>
    <col min="1774" max="1774" width="11.5546875" style="1215" bestFit="1" customWidth="1"/>
    <col min="1775" max="1775" width="8.44140625" style="1215" bestFit="1" customWidth="1"/>
    <col min="1776" max="1776" width="11.5546875" style="1215" bestFit="1" customWidth="1"/>
    <col min="1777" max="1777" width="8.44140625" style="1215" customWidth="1"/>
    <col min="1778" max="1778" width="7.44140625" style="1215" bestFit="1" customWidth="1"/>
    <col min="1779" max="1779" width="11.5546875" style="1215" bestFit="1" customWidth="1"/>
    <col min="1780" max="1780" width="8.44140625" style="1215" customWidth="1"/>
    <col min="1781" max="1781" width="13" style="1215" bestFit="1" customWidth="1"/>
    <col min="1782" max="2020" width="10.88671875" style="1215"/>
    <col min="2021" max="2021" width="8.5546875" style="1215" customWidth="1"/>
    <col min="2022" max="2022" width="50" style="1215" customWidth="1"/>
    <col min="2023" max="2023" width="6.44140625" style="1215" bestFit="1" customWidth="1"/>
    <col min="2024" max="2025" width="8.5546875" style="1215" customWidth="1"/>
    <col min="2026" max="2026" width="11.44140625" style="1215" bestFit="1" customWidth="1"/>
    <col min="2027" max="2027" width="7.5546875" style="1215" bestFit="1" customWidth="1"/>
    <col min="2028" max="2028" width="11.5546875" style="1215" bestFit="1" customWidth="1"/>
    <col min="2029" max="2029" width="8" style="1215" bestFit="1" customWidth="1"/>
    <col min="2030" max="2030" width="11.5546875" style="1215" bestFit="1" customWidth="1"/>
    <col min="2031" max="2031" width="8.44140625" style="1215" bestFit="1" customWidth="1"/>
    <col min="2032" max="2032" width="11.5546875" style="1215" bestFit="1" customWidth="1"/>
    <col min="2033" max="2033" width="8.44140625" style="1215" customWidth="1"/>
    <col min="2034" max="2034" width="7.44140625" style="1215" bestFit="1" customWidth="1"/>
    <col min="2035" max="2035" width="11.5546875" style="1215" bestFit="1" customWidth="1"/>
    <col min="2036" max="2036" width="8.44140625" style="1215" customWidth="1"/>
    <col min="2037" max="2037" width="13" style="1215" bestFit="1" customWidth="1"/>
    <col min="2038" max="2276" width="10.88671875" style="1215"/>
    <col min="2277" max="2277" width="8.5546875" style="1215" customWidth="1"/>
    <col min="2278" max="2278" width="50" style="1215" customWidth="1"/>
    <col min="2279" max="2279" width="6.44140625" style="1215" bestFit="1" customWidth="1"/>
    <col min="2280" max="2281" width="8.5546875" style="1215" customWidth="1"/>
    <col min="2282" max="2282" width="11.44140625" style="1215" bestFit="1" customWidth="1"/>
    <col min="2283" max="2283" width="7.5546875" style="1215" bestFit="1" customWidth="1"/>
    <col min="2284" max="2284" width="11.5546875" style="1215" bestFit="1" customWidth="1"/>
    <col min="2285" max="2285" width="8" style="1215" bestFit="1" customWidth="1"/>
    <col min="2286" max="2286" width="11.5546875" style="1215" bestFit="1" customWidth="1"/>
    <col min="2287" max="2287" width="8.44140625" style="1215" bestFit="1" customWidth="1"/>
    <col min="2288" max="2288" width="11.5546875" style="1215" bestFit="1" customWidth="1"/>
    <col min="2289" max="2289" width="8.44140625" style="1215" customWidth="1"/>
    <col min="2290" max="2290" width="7.44140625" style="1215" bestFit="1" customWidth="1"/>
    <col min="2291" max="2291" width="11.5546875" style="1215" bestFit="1" customWidth="1"/>
    <col min="2292" max="2292" width="8.44140625" style="1215" customWidth="1"/>
    <col min="2293" max="2293" width="13" style="1215" bestFit="1" customWidth="1"/>
    <col min="2294" max="2532" width="10.88671875" style="1215"/>
    <col min="2533" max="2533" width="8.5546875" style="1215" customWidth="1"/>
    <col min="2534" max="2534" width="50" style="1215" customWidth="1"/>
    <col min="2535" max="2535" width="6.44140625" style="1215" bestFit="1" customWidth="1"/>
    <col min="2536" max="2537" width="8.5546875" style="1215" customWidth="1"/>
    <col min="2538" max="2538" width="11.44140625" style="1215" bestFit="1" customWidth="1"/>
    <col min="2539" max="2539" width="7.5546875" style="1215" bestFit="1" customWidth="1"/>
    <col min="2540" max="2540" width="11.5546875" style="1215" bestFit="1" customWidth="1"/>
    <col min="2541" max="2541" width="8" style="1215" bestFit="1" customWidth="1"/>
    <col min="2542" max="2542" width="11.5546875" style="1215" bestFit="1" customWidth="1"/>
    <col min="2543" max="2543" width="8.44140625" style="1215" bestFit="1" customWidth="1"/>
    <col min="2544" max="2544" width="11.5546875" style="1215" bestFit="1" customWidth="1"/>
    <col min="2545" max="2545" width="8.44140625" style="1215" customWidth="1"/>
    <col min="2546" max="2546" width="7.44140625" style="1215" bestFit="1" customWidth="1"/>
    <col min="2547" max="2547" width="11.5546875" style="1215" bestFit="1" customWidth="1"/>
    <col min="2548" max="2548" width="8.44140625" style="1215" customWidth="1"/>
    <col min="2549" max="2549" width="13" style="1215" bestFit="1" customWidth="1"/>
    <col min="2550" max="2788" width="10.88671875" style="1215"/>
    <col min="2789" max="2789" width="8.5546875" style="1215" customWidth="1"/>
    <col min="2790" max="2790" width="50" style="1215" customWidth="1"/>
    <col min="2791" max="2791" width="6.44140625" style="1215" bestFit="1" customWidth="1"/>
    <col min="2792" max="2793" width="8.5546875" style="1215" customWidth="1"/>
    <col min="2794" max="2794" width="11.44140625" style="1215" bestFit="1" customWidth="1"/>
    <col min="2795" max="2795" width="7.5546875" style="1215" bestFit="1" customWidth="1"/>
    <col min="2796" max="2796" width="11.5546875" style="1215" bestFit="1" customWidth="1"/>
    <col min="2797" max="2797" width="8" style="1215" bestFit="1" customWidth="1"/>
    <col min="2798" max="2798" width="11.5546875" style="1215" bestFit="1" customWidth="1"/>
    <col min="2799" max="2799" width="8.44140625" style="1215" bestFit="1" customWidth="1"/>
    <col min="2800" max="2800" width="11.5546875" style="1215" bestFit="1" customWidth="1"/>
    <col min="2801" max="2801" width="8.44140625" style="1215" customWidth="1"/>
    <col min="2802" max="2802" width="7.44140625" style="1215" bestFit="1" customWidth="1"/>
    <col min="2803" max="2803" width="11.5546875" style="1215" bestFit="1" customWidth="1"/>
    <col min="2804" max="2804" width="8.44140625" style="1215" customWidth="1"/>
    <col min="2805" max="2805" width="13" style="1215" bestFit="1" customWidth="1"/>
    <col min="2806" max="3044" width="10.88671875" style="1215"/>
    <col min="3045" max="3045" width="8.5546875" style="1215" customWidth="1"/>
    <col min="3046" max="3046" width="50" style="1215" customWidth="1"/>
    <col min="3047" max="3047" width="6.44140625" style="1215" bestFit="1" customWidth="1"/>
    <col min="3048" max="3049" width="8.5546875" style="1215" customWidth="1"/>
    <col min="3050" max="3050" width="11.44140625" style="1215" bestFit="1" customWidth="1"/>
    <col min="3051" max="3051" width="7.5546875" style="1215" bestFit="1" customWidth="1"/>
    <col min="3052" max="3052" width="11.5546875" style="1215" bestFit="1" customWidth="1"/>
    <col min="3053" max="3053" width="8" style="1215" bestFit="1" customWidth="1"/>
    <col min="3054" max="3054" width="11.5546875" style="1215" bestFit="1" customWidth="1"/>
    <col min="3055" max="3055" width="8.44140625" style="1215" bestFit="1" customWidth="1"/>
    <col min="3056" max="3056" width="11.5546875" style="1215" bestFit="1" customWidth="1"/>
    <col min="3057" max="3057" width="8.44140625" style="1215" customWidth="1"/>
    <col min="3058" max="3058" width="7.44140625" style="1215" bestFit="1" customWidth="1"/>
    <col min="3059" max="3059" width="11.5546875" style="1215" bestFit="1" customWidth="1"/>
    <col min="3060" max="3060" width="8.44140625" style="1215" customWidth="1"/>
    <col min="3061" max="3061" width="13" style="1215" bestFit="1" customWidth="1"/>
    <col min="3062" max="3300" width="10.88671875" style="1215"/>
    <col min="3301" max="3301" width="8.5546875" style="1215" customWidth="1"/>
    <col min="3302" max="3302" width="50" style="1215" customWidth="1"/>
    <col min="3303" max="3303" width="6.44140625" style="1215" bestFit="1" customWidth="1"/>
    <col min="3304" max="3305" width="8.5546875" style="1215" customWidth="1"/>
    <col min="3306" max="3306" width="11.44140625" style="1215" bestFit="1" customWidth="1"/>
    <col min="3307" max="3307" width="7.5546875" style="1215" bestFit="1" customWidth="1"/>
    <col min="3308" max="3308" width="11.5546875" style="1215" bestFit="1" customWidth="1"/>
    <col min="3309" max="3309" width="8" style="1215" bestFit="1" customWidth="1"/>
    <col min="3310" max="3310" width="11.5546875" style="1215" bestFit="1" customWidth="1"/>
    <col min="3311" max="3311" width="8.44140625" style="1215" bestFit="1" customWidth="1"/>
    <col min="3312" max="3312" width="11.5546875" style="1215" bestFit="1" customWidth="1"/>
    <col min="3313" max="3313" width="8.44140625" style="1215" customWidth="1"/>
    <col min="3314" max="3314" width="7.44140625" style="1215" bestFit="1" customWidth="1"/>
    <col min="3315" max="3315" width="11.5546875" style="1215" bestFit="1" customWidth="1"/>
    <col min="3316" max="3316" width="8.44140625" style="1215" customWidth="1"/>
    <col min="3317" max="3317" width="13" style="1215" bestFit="1" customWidth="1"/>
    <col min="3318" max="3556" width="10.88671875" style="1215"/>
    <col min="3557" max="3557" width="8.5546875" style="1215" customWidth="1"/>
    <col min="3558" max="3558" width="50" style="1215" customWidth="1"/>
    <col min="3559" max="3559" width="6.44140625" style="1215" bestFit="1" customWidth="1"/>
    <col min="3560" max="3561" width="8.5546875" style="1215" customWidth="1"/>
    <col min="3562" max="3562" width="11.44140625" style="1215" bestFit="1" customWidth="1"/>
    <col min="3563" max="3563" width="7.5546875" style="1215" bestFit="1" customWidth="1"/>
    <col min="3564" max="3564" width="11.5546875" style="1215" bestFit="1" customWidth="1"/>
    <col min="3565" max="3565" width="8" style="1215" bestFit="1" customWidth="1"/>
    <col min="3566" max="3566" width="11.5546875" style="1215" bestFit="1" customWidth="1"/>
    <col min="3567" max="3567" width="8.44140625" style="1215" bestFit="1" customWidth="1"/>
    <col min="3568" max="3568" width="11.5546875" style="1215" bestFit="1" customWidth="1"/>
    <col min="3569" max="3569" width="8.44140625" style="1215" customWidth="1"/>
    <col min="3570" max="3570" width="7.44140625" style="1215" bestFit="1" customWidth="1"/>
    <col min="3571" max="3571" width="11.5546875" style="1215" bestFit="1" customWidth="1"/>
    <col min="3572" max="3572" width="8.44140625" style="1215" customWidth="1"/>
    <col min="3573" max="3573" width="13" style="1215" bestFit="1" customWidth="1"/>
    <col min="3574" max="3812" width="10.88671875" style="1215"/>
    <col min="3813" max="3813" width="8.5546875" style="1215" customWidth="1"/>
    <col min="3814" max="3814" width="50" style="1215" customWidth="1"/>
    <col min="3815" max="3815" width="6.44140625" style="1215" bestFit="1" customWidth="1"/>
    <col min="3816" max="3817" width="8.5546875" style="1215" customWidth="1"/>
    <col min="3818" max="3818" width="11.44140625" style="1215" bestFit="1" customWidth="1"/>
    <col min="3819" max="3819" width="7.5546875" style="1215" bestFit="1" customWidth="1"/>
    <col min="3820" max="3820" width="11.5546875" style="1215" bestFit="1" customWidth="1"/>
    <col min="3821" max="3821" width="8" style="1215" bestFit="1" customWidth="1"/>
    <col min="3822" max="3822" width="11.5546875" style="1215" bestFit="1" customWidth="1"/>
    <col min="3823" max="3823" width="8.44140625" style="1215" bestFit="1" customWidth="1"/>
    <col min="3824" max="3824" width="11.5546875" style="1215" bestFit="1" customWidth="1"/>
    <col min="3825" max="3825" width="8.44140625" style="1215" customWidth="1"/>
    <col min="3826" max="3826" width="7.44140625" style="1215" bestFit="1" customWidth="1"/>
    <col min="3827" max="3827" width="11.5546875" style="1215" bestFit="1" customWidth="1"/>
    <col min="3828" max="3828" width="8.44140625" style="1215" customWidth="1"/>
    <col min="3829" max="3829" width="13" style="1215" bestFit="1" customWidth="1"/>
    <col min="3830" max="4068" width="10.88671875" style="1215"/>
    <col min="4069" max="4069" width="8.5546875" style="1215" customWidth="1"/>
    <col min="4070" max="4070" width="50" style="1215" customWidth="1"/>
    <col min="4071" max="4071" width="6.44140625" style="1215" bestFit="1" customWidth="1"/>
    <col min="4072" max="4073" width="8.5546875" style="1215" customWidth="1"/>
    <col min="4074" max="4074" width="11.44140625" style="1215" bestFit="1" customWidth="1"/>
    <col min="4075" max="4075" width="7.5546875" style="1215" bestFit="1" customWidth="1"/>
    <col min="4076" max="4076" width="11.5546875" style="1215" bestFit="1" customWidth="1"/>
    <col min="4077" max="4077" width="8" style="1215" bestFit="1" customWidth="1"/>
    <col min="4078" max="4078" width="11.5546875" style="1215" bestFit="1" customWidth="1"/>
    <col min="4079" max="4079" width="8.44140625" style="1215" bestFit="1" customWidth="1"/>
    <col min="4080" max="4080" width="11.5546875" style="1215" bestFit="1" customWidth="1"/>
    <col min="4081" max="4081" width="8.44140625" style="1215" customWidth="1"/>
    <col min="4082" max="4082" width="7.44140625" style="1215" bestFit="1" customWidth="1"/>
    <col min="4083" max="4083" width="11.5546875" style="1215" bestFit="1" customWidth="1"/>
    <col min="4084" max="4084" width="8.44140625" style="1215" customWidth="1"/>
    <col min="4085" max="4085" width="13" style="1215" bestFit="1" customWidth="1"/>
    <col min="4086" max="4324" width="10.88671875" style="1215"/>
    <col min="4325" max="4325" width="8.5546875" style="1215" customWidth="1"/>
    <col min="4326" max="4326" width="50" style="1215" customWidth="1"/>
    <col min="4327" max="4327" width="6.44140625" style="1215" bestFit="1" customWidth="1"/>
    <col min="4328" max="4329" width="8.5546875" style="1215" customWidth="1"/>
    <col min="4330" max="4330" width="11.44140625" style="1215" bestFit="1" customWidth="1"/>
    <col min="4331" max="4331" width="7.5546875" style="1215" bestFit="1" customWidth="1"/>
    <col min="4332" max="4332" width="11.5546875" style="1215" bestFit="1" customWidth="1"/>
    <col min="4333" max="4333" width="8" style="1215" bestFit="1" customWidth="1"/>
    <col min="4334" max="4334" width="11.5546875" style="1215" bestFit="1" customWidth="1"/>
    <col min="4335" max="4335" width="8.44140625" style="1215" bestFit="1" customWidth="1"/>
    <col min="4336" max="4336" width="11.5546875" style="1215" bestFit="1" customWidth="1"/>
    <col min="4337" max="4337" width="8.44140625" style="1215" customWidth="1"/>
    <col min="4338" max="4338" width="7.44140625" style="1215" bestFit="1" customWidth="1"/>
    <col min="4339" max="4339" width="11.5546875" style="1215" bestFit="1" customWidth="1"/>
    <col min="4340" max="4340" width="8.44140625" style="1215" customWidth="1"/>
    <col min="4341" max="4341" width="13" style="1215" bestFit="1" customWidth="1"/>
    <col min="4342" max="4580" width="10.88671875" style="1215"/>
    <col min="4581" max="4581" width="8.5546875" style="1215" customWidth="1"/>
    <col min="4582" max="4582" width="50" style="1215" customWidth="1"/>
    <col min="4583" max="4583" width="6.44140625" style="1215" bestFit="1" customWidth="1"/>
    <col min="4584" max="4585" width="8.5546875" style="1215" customWidth="1"/>
    <col min="4586" max="4586" width="11.44140625" style="1215" bestFit="1" customWidth="1"/>
    <col min="4587" max="4587" width="7.5546875" style="1215" bestFit="1" customWidth="1"/>
    <col min="4588" max="4588" width="11.5546875" style="1215" bestFit="1" customWidth="1"/>
    <col min="4589" max="4589" width="8" style="1215" bestFit="1" customWidth="1"/>
    <col min="4590" max="4590" width="11.5546875" style="1215" bestFit="1" customWidth="1"/>
    <col min="4591" max="4591" width="8.44140625" style="1215" bestFit="1" customWidth="1"/>
    <col min="4592" max="4592" width="11.5546875" style="1215" bestFit="1" customWidth="1"/>
    <col min="4593" max="4593" width="8.44140625" style="1215" customWidth="1"/>
    <col min="4594" max="4594" width="7.44140625" style="1215" bestFit="1" customWidth="1"/>
    <col min="4595" max="4595" width="11.5546875" style="1215" bestFit="1" customWidth="1"/>
    <col min="4596" max="4596" width="8.44140625" style="1215" customWidth="1"/>
    <col min="4597" max="4597" width="13" style="1215" bestFit="1" customWidth="1"/>
    <col min="4598" max="4836" width="10.88671875" style="1215"/>
    <col min="4837" max="4837" width="8.5546875" style="1215" customWidth="1"/>
    <col min="4838" max="4838" width="50" style="1215" customWidth="1"/>
    <col min="4839" max="4839" width="6.44140625" style="1215" bestFit="1" customWidth="1"/>
    <col min="4840" max="4841" width="8.5546875" style="1215" customWidth="1"/>
    <col min="4842" max="4842" width="11.44140625" style="1215" bestFit="1" customWidth="1"/>
    <col min="4843" max="4843" width="7.5546875" style="1215" bestFit="1" customWidth="1"/>
    <col min="4844" max="4844" width="11.5546875" style="1215" bestFit="1" customWidth="1"/>
    <col min="4845" max="4845" width="8" style="1215" bestFit="1" customWidth="1"/>
    <col min="4846" max="4846" width="11.5546875" style="1215" bestFit="1" customWidth="1"/>
    <col min="4847" max="4847" width="8.44140625" style="1215" bestFit="1" customWidth="1"/>
    <col min="4848" max="4848" width="11.5546875" style="1215" bestFit="1" customWidth="1"/>
    <col min="4849" max="4849" width="8.44140625" style="1215" customWidth="1"/>
    <col min="4850" max="4850" width="7.44140625" style="1215" bestFit="1" customWidth="1"/>
    <col min="4851" max="4851" width="11.5546875" style="1215" bestFit="1" customWidth="1"/>
    <col min="4852" max="4852" width="8.44140625" style="1215" customWidth="1"/>
    <col min="4853" max="4853" width="13" style="1215" bestFit="1" customWidth="1"/>
    <col min="4854" max="5092" width="10.88671875" style="1215"/>
    <col min="5093" max="5093" width="8.5546875" style="1215" customWidth="1"/>
    <col min="5094" max="5094" width="50" style="1215" customWidth="1"/>
    <col min="5095" max="5095" width="6.44140625" style="1215" bestFit="1" customWidth="1"/>
    <col min="5096" max="5097" width="8.5546875" style="1215" customWidth="1"/>
    <col min="5098" max="5098" width="11.44140625" style="1215" bestFit="1" customWidth="1"/>
    <col min="5099" max="5099" width="7.5546875" style="1215" bestFit="1" customWidth="1"/>
    <col min="5100" max="5100" width="11.5546875" style="1215" bestFit="1" customWidth="1"/>
    <col min="5101" max="5101" width="8" style="1215" bestFit="1" customWidth="1"/>
    <col min="5102" max="5102" width="11.5546875" style="1215" bestFit="1" customWidth="1"/>
    <col min="5103" max="5103" width="8.44140625" style="1215" bestFit="1" customWidth="1"/>
    <col min="5104" max="5104" width="11.5546875" style="1215" bestFit="1" customWidth="1"/>
    <col min="5105" max="5105" width="8.44140625" style="1215" customWidth="1"/>
    <col min="5106" max="5106" width="7.44140625" style="1215" bestFit="1" customWidth="1"/>
    <col min="5107" max="5107" width="11.5546875" style="1215" bestFit="1" customWidth="1"/>
    <col min="5108" max="5108" width="8.44140625" style="1215" customWidth="1"/>
    <col min="5109" max="5109" width="13" style="1215" bestFit="1" customWidth="1"/>
    <col min="5110" max="5348" width="10.88671875" style="1215"/>
    <col min="5349" max="5349" width="8.5546875" style="1215" customWidth="1"/>
    <col min="5350" max="5350" width="50" style="1215" customWidth="1"/>
    <col min="5351" max="5351" width="6.44140625" style="1215" bestFit="1" customWidth="1"/>
    <col min="5352" max="5353" width="8.5546875" style="1215" customWidth="1"/>
    <col min="5354" max="5354" width="11.44140625" style="1215" bestFit="1" customWidth="1"/>
    <col min="5355" max="5355" width="7.5546875" style="1215" bestFit="1" customWidth="1"/>
    <col min="5356" max="5356" width="11.5546875" style="1215" bestFit="1" customWidth="1"/>
    <col min="5357" max="5357" width="8" style="1215" bestFit="1" customWidth="1"/>
    <col min="5358" max="5358" width="11.5546875" style="1215" bestFit="1" customWidth="1"/>
    <col min="5359" max="5359" width="8.44140625" style="1215" bestFit="1" customWidth="1"/>
    <col min="5360" max="5360" width="11.5546875" style="1215" bestFit="1" customWidth="1"/>
    <col min="5361" max="5361" width="8.44140625" style="1215" customWidth="1"/>
    <col min="5362" max="5362" width="7.44140625" style="1215" bestFit="1" customWidth="1"/>
    <col min="5363" max="5363" width="11.5546875" style="1215" bestFit="1" customWidth="1"/>
    <col min="5364" max="5364" width="8.44140625" style="1215" customWidth="1"/>
    <col min="5365" max="5365" width="13" style="1215" bestFit="1" customWidth="1"/>
    <col min="5366" max="5604" width="10.88671875" style="1215"/>
    <col min="5605" max="5605" width="8.5546875" style="1215" customWidth="1"/>
    <col min="5606" max="5606" width="50" style="1215" customWidth="1"/>
    <col min="5607" max="5607" width="6.44140625" style="1215" bestFit="1" customWidth="1"/>
    <col min="5608" max="5609" width="8.5546875" style="1215" customWidth="1"/>
    <col min="5610" max="5610" width="11.44140625" style="1215" bestFit="1" customWidth="1"/>
    <col min="5611" max="5611" width="7.5546875" style="1215" bestFit="1" customWidth="1"/>
    <col min="5612" max="5612" width="11.5546875" style="1215" bestFit="1" customWidth="1"/>
    <col min="5613" max="5613" width="8" style="1215" bestFit="1" customWidth="1"/>
    <col min="5614" max="5614" width="11.5546875" style="1215" bestFit="1" customWidth="1"/>
    <col min="5615" max="5615" width="8.44140625" style="1215" bestFit="1" customWidth="1"/>
    <col min="5616" max="5616" width="11.5546875" style="1215" bestFit="1" customWidth="1"/>
    <col min="5617" max="5617" width="8.44140625" style="1215" customWidth="1"/>
    <col min="5618" max="5618" width="7.44140625" style="1215" bestFit="1" customWidth="1"/>
    <col min="5619" max="5619" width="11.5546875" style="1215" bestFit="1" customWidth="1"/>
    <col min="5620" max="5620" width="8.44140625" style="1215" customWidth="1"/>
    <col min="5621" max="5621" width="13" style="1215" bestFit="1" customWidth="1"/>
    <col min="5622" max="5860" width="10.88671875" style="1215"/>
    <col min="5861" max="5861" width="8.5546875" style="1215" customWidth="1"/>
    <col min="5862" max="5862" width="50" style="1215" customWidth="1"/>
    <col min="5863" max="5863" width="6.44140625" style="1215" bestFit="1" customWidth="1"/>
    <col min="5864" max="5865" width="8.5546875" style="1215" customWidth="1"/>
    <col min="5866" max="5866" width="11.44140625" style="1215" bestFit="1" customWidth="1"/>
    <col min="5867" max="5867" width="7.5546875" style="1215" bestFit="1" customWidth="1"/>
    <col min="5868" max="5868" width="11.5546875" style="1215" bestFit="1" customWidth="1"/>
    <col min="5869" max="5869" width="8" style="1215" bestFit="1" customWidth="1"/>
    <col min="5870" max="5870" width="11.5546875" style="1215" bestFit="1" customWidth="1"/>
    <col min="5871" max="5871" width="8.44140625" style="1215" bestFit="1" customWidth="1"/>
    <col min="5872" max="5872" width="11.5546875" style="1215" bestFit="1" customWidth="1"/>
    <col min="5873" max="5873" width="8.44140625" style="1215" customWidth="1"/>
    <col min="5874" max="5874" width="7.44140625" style="1215" bestFit="1" customWidth="1"/>
    <col min="5875" max="5875" width="11.5546875" style="1215" bestFit="1" customWidth="1"/>
    <col min="5876" max="5876" width="8.44140625" style="1215" customWidth="1"/>
    <col min="5877" max="5877" width="13" style="1215" bestFit="1" customWidth="1"/>
    <col min="5878" max="6116" width="10.88671875" style="1215"/>
    <col min="6117" max="6117" width="8.5546875" style="1215" customWidth="1"/>
    <col min="6118" max="6118" width="50" style="1215" customWidth="1"/>
    <col min="6119" max="6119" width="6.44140625" style="1215" bestFit="1" customWidth="1"/>
    <col min="6120" max="6121" width="8.5546875" style="1215" customWidth="1"/>
    <col min="6122" max="6122" width="11.44140625" style="1215" bestFit="1" customWidth="1"/>
    <col min="6123" max="6123" width="7.5546875" style="1215" bestFit="1" customWidth="1"/>
    <col min="6124" max="6124" width="11.5546875" style="1215" bestFit="1" customWidth="1"/>
    <col min="6125" max="6125" width="8" style="1215" bestFit="1" customWidth="1"/>
    <col min="6126" max="6126" width="11.5546875" style="1215" bestFit="1" customWidth="1"/>
    <col min="6127" max="6127" width="8.44140625" style="1215" bestFit="1" customWidth="1"/>
    <col min="6128" max="6128" width="11.5546875" style="1215" bestFit="1" customWidth="1"/>
    <col min="6129" max="6129" width="8.44140625" style="1215" customWidth="1"/>
    <col min="6130" max="6130" width="7.44140625" style="1215" bestFit="1" customWidth="1"/>
    <col min="6131" max="6131" width="11.5546875" style="1215" bestFit="1" customWidth="1"/>
    <col min="6132" max="6132" width="8.44140625" style="1215" customWidth="1"/>
    <col min="6133" max="6133" width="13" style="1215" bestFit="1" customWidth="1"/>
    <col min="6134" max="6372" width="10.88671875" style="1215"/>
    <col min="6373" max="6373" width="8.5546875" style="1215" customWidth="1"/>
    <col min="6374" max="6374" width="50" style="1215" customWidth="1"/>
    <col min="6375" max="6375" width="6.44140625" style="1215" bestFit="1" customWidth="1"/>
    <col min="6376" max="6377" width="8.5546875" style="1215" customWidth="1"/>
    <col min="6378" max="6378" width="11.44140625" style="1215" bestFit="1" customWidth="1"/>
    <col min="6379" max="6379" width="7.5546875" style="1215" bestFit="1" customWidth="1"/>
    <col min="6380" max="6380" width="11.5546875" style="1215" bestFit="1" customWidth="1"/>
    <col min="6381" max="6381" width="8" style="1215" bestFit="1" customWidth="1"/>
    <col min="6382" max="6382" width="11.5546875" style="1215" bestFit="1" customWidth="1"/>
    <col min="6383" max="6383" width="8.44140625" style="1215" bestFit="1" customWidth="1"/>
    <col min="6384" max="6384" width="11.5546875" style="1215" bestFit="1" customWidth="1"/>
    <col min="6385" max="6385" width="8.44140625" style="1215" customWidth="1"/>
    <col min="6386" max="6386" width="7.44140625" style="1215" bestFit="1" customWidth="1"/>
    <col min="6387" max="6387" width="11.5546875" style="1215" bestFit="1" customWidth="1"/>
    <col min="6388" max="6388" width="8.44140625" style="1215" customWidth="1"/>
    <col min="6389" max="6389" width="13" style="1215" bestFit="1" customWidth="1"/>
    <col min="6390" max="6628" width="10.88671875" style="1215"/>
    <col min="6629" max="6629" width="8.5546875" style="1215" customWidth="1"/>
    <col min="6630" max="6630" width="50" style="1215" customWidth="1"/>
    <col min="6631" max="6631" width="6.44140625" style="1215" bestFit="1" customWidth="1"/>
    <col min="6632" max="6633" width="8.5546875" style="1215" customWidth="1"/>
    <col min="6634" max="6634" width="11.44140625" style="1215" bestFit="1" customWidth="1"/>
    <col min="6635" max="6635" width="7.5546875" style="1215" bestFit="1" customWidth="1"/>
    <col min="6636" max="6636" width="11.5546875" style="1215" bestFit="1" customWidth="1"/>
    <col min="6637" max="6637" width="8" style="1215" bestFit="1" customWidth="1"/>
    <col min="6638" max="6638" width="11.5546875" style="1215" bestFit="1" customWidth="1"/>
    <col min="6639" max="6639" width="8.44140625" style="1215" bestFit="1" customWidth="1"/>
    <col min="6640" max="6640" width="11.5546875" style="1215" bestFit="1" customWidth="1"/>
    <col min="6641" max="6641" width="8.44140625" style="1215" customWidth="1"/>
    <col min="6642" max="6642" width="7.44140625" style="1215" bestFit="1" customWidth="1"/>
    <col min="6643" max="6643" width="11.5546875" style="1215" bestFit="1" customWidth="1"/>
    <col min="6644" max="6644" width="8.44140625" style="1215" customWidth="1"/>
    <col min="6645" max="6645" width="13" style="1215" bestFit="1" customWidth="1"/>
    <col min="6646" max="6884" width="10.88671875" style="1215"/>
    <col min="6885" max="6885" width="8.5546875" style="1215" customWidth="1"/>
    <col min="6886" max="6886" width="50" style="1215" customWidth="1"/>
    <col min="6887" max="6887" width="6.44140625" style="1215" bestFit="1" customWidth="1"/>
    <col min="6888" max="6889" width="8.5546875" style="1215" customWidth="1"/>
    <col min="6890" max="6890" width="11.44140625" style="1215" bestFit="1" customWidth="1"/>
    <col min="6891" max="6891" width="7.5546875" style="1215" bestFit="1" customWidth="1"/>
    <col min="6892" max="6892" width="11.5546875" style="1215" bestFit="1" customWidth="1"/>
    <col min="6893" max="6893" width="8" style="1215" bestFit="1" customWidth="1"/>
    <col min="6894" max="6894" width="11.5546875" style="1215" bestFit="1" customWidth="1"/>
    <col min="6895" max="6895" width="8.44140625" style="1215" bestFit="1" customWidth="1"/>
    <col min="6896" max="6896" width="11.5546875" style="1215" bestFit="1" customWidth="1"/>
    <col min="6897" max="6897" width="8.44140625" style="1215" customWidth="1"/>
    <col min="6898" max="6898" width="7.44140625" style="1215" bestFit="1" customWidth="1"/>
    <col min="6899" max="6899" width="11.5546875" style="1215" bestFit="1" customWidth="1"/>
    <col min="6900" max="6900" width="8.44140625" style="1215" customWidth="1"/>
    <col min="6901" max="6901" width="13" style="1215" bestFit="1" customWidth="1"/>
    <col min="6902" max="7140" width="10.88671875" style="1215"/>
    <col min="7141" max="7141" width="8.5546875" style="1215" customWidth="1"/>
    <col min="7142" max="7142" width="50" style="1215" customWidth="1"/>
    <col min="7143" max="7143" width="6.44140625" style="1215" bestFit="1" customWidth="1"/>
    <col min="7144" max="7145" width="8.5546875" style="1215" customWidth="1"/>
    <col min="7146" max="7146" width="11.44140625" style="1215" bestFit="1" customWidth="1"/>
    <col min="7147" max="7147" width="7.5546875" style="1215" bestFit="1" customWidth="1"/>
    <col min="7148" max="7148" width="11.5546875" style="1215" bestFit="1" customWidth="1"/>
    <col min="7149" max="7149" width="8" style="1215" bestFit="1" customWidth="1"/>
    <col min="7150" max="7150" width="11.5546875" style="1215" bestFit="1" customWidth="1"/>
    <col min="7151" max="7151" width="8.44140625" style="1215" bestFit="1" customWidth="1"/>
    <col min="7152" max="7152" width="11.5546875" style="1215" bestFit="1" customWidth="1"/>
    <col min="7153" max="7153" width="8.44140625" style="1215" customWidth="1"/>
    <col min="7154" max="7154" width="7.44140625" style="1215" bestFit="1" customWidth="1"/>
    <col min="7155" max="7155" width="11.5546875" style="1215" bestFit="1" customWidth="1"/>
    <col min="7156" max="7156" width="8.44140625" style="1215" customWidth="1"/>
    <col min="7157" max="7157" width="13" style="1215" bestFit="1" customWidth="1"/>
    <col min="7158" max="7396" width="10.88671875" style="1215"/>
    <col min="7397" max="7397" width="8.5546875" style="1215" customWidth="1"/>
    <col min="7398" max="7398" width="50" style="1215" customWidth="1"/>
    <col min="7399" max="7399" width="6.44140625" style="1215" bestFit="1" customWidth="1"/>
    <col min="7400" max="7401" width="8.5546875" style="1215" customWidth="1"/>
    <col min="7402" max="7402" width="11.44140625" style="1215" bestFit="1" customWidth="1"/>
    <col min="7403" max="7403" width="7.5546875" style="1215" bestFit="1" customWidth="1"/>
    <col min="7404" max="7404" width="11.5546875" style="1215" bestFit="1" customWidth="1"/>
    <col min="7405" max="7405" width="8" style="1215" bestFit="1" customWidth="1"/>
    <col min="7406" max="7406" width="11.5546875" style="1215" bestFit="1" customWidth="1"/>
    <col min="7407" max="7407" width="8.44140625" style="1215" bestFit="1" customWidth="1"/>
    <col min="7408" max="7408" width="11.5546875" style="1215" bestFit="1" customWidth="1"/>
    <col min="7409" max="7409" width="8.44140625" style="1215" customWidth="1"/>
    <col min="7410" max="7410" width="7.44140625" style="1215" bestFit="1" customWidth="1"/>
    <col min="7411" max="7411" width="11.5546875" style="1215" bestFit="1" customWidth="1"/>
    <col min="7412" max="7412" width="8.44140625" style="1215" customWidth="1"/>
    <col min="7413" max="7413" width="13" style="1215" bestFit="1" customWidth="1"/>
    <col min="7414" max="7652" width="10.88671875" style="1215"/>
    <col min="7653" max="7653" width="8.5546875" style="1215" customWidth="1"/>
    <col min="7654" max="7654" width="50" style="1215" customWidth="1"/>
    <col min="7655" max="7655" width="6.44140625" style="1215" bestFit="1" customWidth="1"/>
    <col min="7656" max="7657" width="8.5546875" style="1215" customWidth="1"/>
    <col min="7658" max="7658" width="11.44140625" style="1215" bestFit="1" customWidth="1"/>
    <col min="7659" max="7659" width="7.5546875" style="1215" bestFit="1" customWidth="1"/>
    <col min="7660" max="7660" width="11.5546875" style="1215" bestFit="1" customWidth="1"/>
    <col min="7661" max="7661" width="8" style="1215" bestFit="1" customWidth="1"/>
    <col min="7662" max="7662" width="11.5546875" style="1215" bestFit="1" customWidth="1"/>
    <col min="7663" max="7663" width="8.44140625" style="1215" bestFit="1" customWidth="1"/>
    <col min="7664" max="7664" width="11.5546875" style="1215" bestFit="1" customWidth="1"/>
    <col min="7665" max="7665" width="8.44140625" style="1215" customWidth="1"/>
    <col min="7666" max="7666" width="7.44140625" style="1215" bestFit="1" customWidth="1"/>
    <col min="7667" max="7667" width="11.5546875" style="1215" bestFit="1" customWidth="1"/>
    <col min="7668" max="7668" width="8.44140625" style="1215" customWidth="1"/>
    <col min="7669" max="7669" width="13" style="1215" bestFit="1" customWidth="1"/>
    <col min="7670" max="7908" width="10.88671875" style="1215"/>
    <col min="7909" max="7909" width="8.5546875" style="1215" customWidth="1"/>
    <col min="7910" max="7910" width="50" style="1215" customWidth="1"/>
    <col min="7911" max="7911" width="6.44140625" style="1215" bestFit="1" customWidth="1"/>
    <col min="7912" max="7913" width="8.5546875" style="1215" customWidth="1"/>
    <col min="7914" max="7914" width="11.44140625" style="1215" bestFit="1" customWidth="1"/>
    <col min="7915" max="7915" width="7.5546875" style="1215" bestFit="1" customWidth="1"/>
    <col min="7916" max="7916" width="11.5546875" style="1215" bestFit="1" customWidth="1"/>
    <col min="7917" max="7917" width="8" style="1215" bestFit="1" customWidth="1"/>
    <col min="7918" max="7918" width="11.5546875" style="1215" bestFit="1" customWidth="1"/>
    <col min="7919" max="7919" width="8.44140625" style="1215" bestFit="1" customWidth="1"/>
    <col min="7920" max="7920" width="11.5546875" style="1215" bestFit="1" customWidth="1"/>
    <col min="7921" max="7921" width="8.44140625" style="1215" customWidth="1"/>
    <col min="7922" max="7922" width="7.44140625" style="1215" bestFit="1" customWidth="1"/>
    <col min="7923" max="7923" width="11.5546875" style="1215" bestFit="1" customWidth="1"/>
    <col min="7924" max="7924" width="8.44140625" style="1215" customWidth="1"/>
    <col min="7925" max="7925" width="13" style="1215" bestFit="1" customWidth="1"/>
    <col min="7926" max="8164" width="10.88671875" style="1215"/>
    <col min="8165" max="8165" width="8.5546875" style="1215" customWidth="1"/>
    <col min="8166" max="8166" width="50" style="1215" customWidth="1"/>
    <col min="8167" max="8167" width="6.44140625" style="1215" bestFit="1" customWidth="1"/>
    <col min="8168" max="8169" width="8.5546875" style="1215" customWidth="1"/>
    <col min="8170" max="8170" width="11.44140625" style="1215" bestFit="1" customWidth="1"/>
    <col min="8171" max="8171" width="7.5546875" style="1215" bestFit="1" customWidth="1"/>
    <col min="8172" max="8172" width="11.5546875" style="1215" bestFit="1" customWidth="1"/>
    <col min="8173" max="8173" width="8" style="1215" bestFit="1" customWidth="1"/>
    <col min="8174" max="8174" width="11.5546875" style="1215" bestFit="1" customWidth="1"/>
    <col min="8175" max="8175" width="8.44140625" style="1215" bestFit="1" customWidth="1"/>
    <col min="8176" max="8176" width="11.5546875" style="1215" bestFit="1" customWidth="1"/>
    <col min="8177" max="8177" width="8.44140625" style="1215" customWidth="1"/>
    <col min="8178" max="8178" width="7.44140625" style="1215" bestFit="1" customWidth="1"/>
    <col min="8179" max="8179" width="11.5546875" style="1215" bestFit="1" customWidth="1"/>
    <col min="8180" max="8180" width="8.44140625" style="1215" customWidth="1"/>
    <col min="8181" max="8181" width="13" style="1215" bestFit="1" customWidth="1"/>
    <col min="8182" max="8420" width="10.88671875" style="1215"/>
    <col min="8421" max="8421" width="8.5546875" style="1215" customWidth="1"/>
    <col min="8422" max="8422" width="50" style="1215" customWidth="1"/>
    <col min="8423" max="8423" width="6.44140625" style="1215" bestFit="1" customWidth="1"/>
    <col min="8424" max="8425" width="8.5546875" style="1215" customWidth="1"/>
    <col min="8426" max="8426" width="11.44140625" style="1215" bestFit="1" customWidth="1"/>
    <col min="8427" max="8427" width="7.5546875" style="1215" bestFit="1" customWidth="1"/>
    <col min="8428" max="8428" width="11.5546875" style="1215" bestFit="1" customWidth="1"/>
    <col min="8429" max="8429" width="8" style="1215" bestFit="1" customWidth="1"/>
    <col min="8430" max="8430" width="11.5546875" style="1215" bestFit="1" customWidth="1"/>
    <col min="8431" max="8431" width="8.44140625" style="1215" bestFit="1" customWidth="1"/>
    <col min="8432" max="8432" width="11.5546875" style="1215" bestFit="1" customWidth="1"/>
    <col min="8433" max="8433" width="8.44140625" style="1215" customWidth="1"/>
    <col min="8434" max="8434" width="7.44140625" style="1215" bestFit="1" customWidth="1"/>
    <col min="8435" max="8435" width="11.5546875" style="1215" bestFit="1" customWidth="1"/>
    <col min="8436" max="8436" width="8.44140625" style="1215" customWidth="1"/>
    <col min="8437" max="8437" width="13" style="1215" bestFit="1" customWidth="1"/>
    <col min="8438" max="8676" width="10.88671875" style="1215"/>
    <col min="8677" max="8677" width="8.5546875" style="1215" customWidth="1"/>
    <col min="8678" max="8678" width="50" style="1215" customWidth="1"/>
    <col min="8679" max="8679" width="6.44140625" style="1215" bestFit="1" customWidth="1"/>
    <col min="8680" max="8681" width="8.5546875" style="1215" customWidth="1"/>
    <col min="8682" max="8682" width="11.44140625" style="1215" bestFit="1" customWidth="1"/>
    <col min="8683" max="8683" width="7.5546875" style="1215" bestFit="1" customWidth="1"/>
    <col min="8684" max="8684" width="11.5546875" style="1215" bestFit="1" customWidth="1"/>
    <col min="8685" max="8685" width="8" style="1215" bestFit="1" customWidth="1"/>
    <col min="8686" max="8686" width="11.5546875" style="1215" bestFit="1" customWidth="1"/>
    <col min="8687" max="8687" width="8.44140625" style="1215" bestFit="1" customWidth="1"/>
    <col min="8688" max="8688" width="11.5546875" style="1215" bestFit="1" customWidth="1"/>
    <col min="8689" max="8689" width="8.44140625" style="1215" customWidth="1"/>
    <col min="8690" max="8690" width="7.44140625" style="1215" bestFit="1" customWidth="1"/>
    <col min="8691" max="8691" width="11.5546875" style="1215" bestFit="1" customWidth="1"/>
    <col min="8692" max="8692" width="8.44140625" style="1215" customWidth="1"/>
    <col min="8693" max="8693" width="13" style="1215" bestFit="1" customWidth="1"/>
    <col min="8694" max="8932" width="10.88671875" style="1215"/>
    <col min="8933" max="8933" width="8.5546875" style="1215" customWidth="1"/>
    <col min="8934" max="8934" width="50" style="1215" customWidth="1"/>
    <col min="8935" max="8935" width="6.44140625" style="1215" bestFit="1" customWidth="1"/>
    <col min="8936" max="8937" width="8.5546875" style="1215" customWidth="1"/>
    <col min="8938" max="8938" width="11.44140625" style="1215" bestFit="1" customWidth="1"/>
    <col min="8939" max="8939" width="7.5546875" style="1215" bestFit="1" customWidth="1"/>
    <col min="8940" max="8940" width="11.5546875" style="1215" bestFit="1" customWidth="1"/>
    <col min="8941" max="8941" width="8" style="1215" bestFit="1" customWidth="1"/>
    <col min="8942" max="8942" width="11.5546875" style="1215" bestFit="1" customWidth="1"/>
    <col min="8943" max="8943" width="8.44140625" style="1215" bestFit="1" customWidth="1"/>
    <col min="8944" max="8944" width="11.5546875" style="1215" bestFit="1" customWidth="1"/>
    <col min="8945" max="8945" width="8.44140625" style="1215" customWidth="1"/>
    <col min="8946" max="8946" width="7.44140625" style="1215" bestFit="1" customWidth="1"/>
    <col min="8947" max="8947" width="11.5546875" style="1215" bestFit="1" customWidth="1"/>
    <col min="8948" max="8948" width="8.44140625" style="1215" customWidth="1"/>
    <col min="8949" max="8949" width="13" style="1215" bestFit="1" customWidth="1"/>
    <col min="8950" max="9188" width="10.88671875" style="1215"/>
    <col min="9189" max="9189" width="8.5546875" style="1215" customWidth="1"/>
    <col min="9190" max="9190" width="50" style="1215" customWidth="1"/>
    <col min="9191" max="9191" width="6.44140625" style="1215" bestFit="1" customWidth="1"/>
    <col min="9192" max="9193" width="8.5546875" style="1215" customWidth="1"/>
    <col min="9194" max="9194" width="11.44140625" style="1215" bestFit="1" customWidth="1"/>
    <col min="9195" max="9195" width="7.5546875" style="1215" bestFit="1" customWidth="1"/>
    <col min="9196" max="9196" width="11.5546875" style="1215" bestFit="1" customWidth="1"/>
    <col min="9197" max="9197" width="8" style="1215" bestFit="1" customWidth="1"/>
    <col min="9198" max="9198" width="11.5546875" style="1215" bestFit="1" customWidth="1"/>
    <col min="9199" max="9199" width="8.44140625" style="1215" bestFit="1" customWidth="1"/>
    <col min="9200" max="9200" width="11.5546875" style="1215" bestFit="1" customWidth="1"/>
    <col min="9201" max="9201" width="8.44140625" style="1215" customWidth="1"/>
    <col min="9202" max="9202" width="7.44140625" style="1215" bestFit="1" customWidth="1"/>
    <col min="9203" max="9203" width="11.5546875" style="1215" bestFit="1" customWidth="1"/>
    <col min="9204" max="9204" width="8.44140625" style="1215" customWidth="1"/>
    <col min="9205" max="9205" width="13" style="1215" bestFit="1" customWidth="1"/>
    <col min="9206" max="9444" width="10.88671875" style="1215"/>
    <col min="9445" max="9445" width="8.5546875" style="1215" customWidth="1"/>
    <col min="9446" max="9446" width="50" style="1215" customWidth="1"/>
    <col min="9447" max="9447" width="6.44140625" style="1215" bestFit="1" customWidth="1"/>
    <col min="9448" max="9449" width="8.5546875" style="1215" customWidth="1"/>
    <col min="9450" max="9450" width="11.44140625" style="1215" bestFit="1" customWidth="1"/>
    <col min="9451" max="9451" width="7.5546875" style="1215" bestFit="1" customWidth="1"/>
    <col min="9452" max="9452" width="11.5546875" style="1215" bestFit="1" customWidth="1"/>
    <col min="9453" max="9453" width="8" style="1215" bestFit="1" customWidth="1"/>
    <col min="9454" max="9454" width="11.5546875" style="1215" bestFit="1" customWidth="1"/>
    <col min="9455" max="9455" width="8.44140625" style="1215" bestFit="1" customWidth="1"/>
    <col min="9456" max="9456" width="11.5546875" style="1215" bestFit="1" customWidth="1"/>
    <col min="9457" max="9457" width="8.44140625" style="1215" customWidth="1"/>
    <col min="9458" max="9458" width="7.44140625" style="1215" bestFit="1" customWidth="1"/>
    <col min="9459" max="9459" width="11.5546875" style="1215" bestFit="1" customWidth="1"/>
    <col min="9460" max="9460" width="8.44140625" style="1215" customWidth="1"/>
    <col min="9461" max="9461" width="13" style="1215" bestFit="1" customWidth="1"/>
    <col min="9462" max="9700" width="10.88671875" style="1215"/>
    <col min="9701" max="9701" width="8.5546875" style="1215" customWidth="1"/>
    <col min="9702" max="9702" width="50" style="1215" customWidth="1"/>
    <col min="9703" max="9703" width="6.44140625" style="1215" bestFit="1" customWidth="1"/>
    <col min="9704" max="9705" width="8.5546875" style="1215" customWidth="1"/>
    <col min="9706" max="9706" width="11.44140625" style="1215" bestFit="1" customWidth="1"/>
    <col min="9707" max="9707" width="7.5546875" style="1215" bestFit="1" customWidth="1"/>
    <col min="9708" max="9708" width="11.5546875" style="1215" bestFit="1" customWidth="1"/>
    <col min="9709" max="9709" width="8" style="1215" bestFit="1" customWidth="1"/>
    <col min="9710" max="9710" width="11.5546875" style="1215" bestFit="1" customWidth="1"/>
    <col min="9711" max="9711" width="8.44140625" style="1215" bestFit="1" customWidth="1"/>
    <col min="9712" max="9712" width="11.5546875" style="1215" bestFit="1" customWidth="1"/>
    <col min="9713" max="9713" width="8.44140625" style="1215" customWidth="1"/>
    <col min="9714" max="9714" width="7.44140625" style="1215" bestFit="1" customWidth="1"/>
    <col min="9715" max="9715" width="11.5546875" style="1215" bestFit="1" customWidth="1"/>
    <col min="9716" max="9716" width="8.44140625" style="1215" customWidth="1"/>
    <col min="9717" max="9717" width="13" style="1215" bestFit="1" customWidth="1"/>
    <col min="9718" max="9956" width="10.88671875" style="1215"/>
    <col min="9957" max="9957" width="8.5546875" style="1215" customWidth="1"/>
    <col min="9958" max="9958" width="50" style="1215" customWidth="1"/>
    <col min="9959" max="9959" width="6.44140625" style="1215" bestFit="1" customWidth="1"/>
    <col min="9960" max="9961" width="8.5546875" style="1215" customWidth="1"/>
    <col min="9962" max="9962" width="11.44140625" style="1215" bestFit="1" customWidth="1"/>
    <col min="9963" max="9963" width="7.5546875" style="1215" bestFit="1" customWidth="1"/>
    <col min="9964" max="9964" width="11.5546875" style="1215" bestFit="1" customWidth="1"/>
    <col min="9965" max="9965" width="8" style="1215" bestFit="1" customWidth="1"/>
    <col min="9966" max="9966" width="11.5546875" style="1215" bestFit="1" customWidth="1"/>
    <col min="9967" max="9967" width="8.44140625" style="1215" bestFit="1" customWidth="1"/>
    <col min="9968" max="9968" width="11.5546875" style="1215" bestFit="1" customWidth="1"/>
    <col min="9969" max="9969" width="8.44140625" style="1215" customWidth="1"/>
    <col min="9970" max="9970" width="7.44140625" style="1215" bestFit="1" customWidth="1"/>
    <col min="9971" max="9971" width="11.5546875" style="1215" bestFit="1" customWidth="1"/>
    <col min="9972" max="9972" width="8.44140625" style="1215" customWidth="1"/>
    <col min="9973" max="9973" width="13" style="1215" bestFit="1" customWidth="1"/>
    <col min="9974" max="10212" width="10.88671875" style="1215"/>
    <col min="10213" max="10213" width="8.5546875" style="1215" customWidth="1"/>
    <col min="10214" max="10214" width="50" style="1215" customWidth="1"/>
    <col min="10215" max="10215" width="6.44140625" style="1215" bestFit="1" customWidth="1"/>
    <col min="10216" max="10217" width="8.5546875" style="1215" customWidth="1"/>
    <col min="10218" max="10218" width="11.44140625" style="1215" bestFit="1" customWidth="1"/>
    <col min="10219" max="10219" width="7.5546875" style="1215" bestFit="1" customWidth="1"/>
    <col min="10220" max="10220" width="11.5546875" style="1215" bestFit="1" customWidth="1"/>
    <col min="10221" max="10221" width="8" style="1215" bestFit="1" customWidth="1"/>
    <col min="10222" max="10222" width="11.5546875" style="1215" bestFit="1" customWidth="1"/>
    <col min="10223" max="10223" width="8.44140625" style="1215" bestFit="1" customWidth="1"/>
    <col min="10224" max="10224" width="11.5546875" style="1215" bestFit="1" customWidth="1"/>
    <col min="10225" max="10225" width="8.44140625" style="1215" customWidth="1"/>
    <col min="10226" max="10226" width="7.44140625" style="1215" bestFit="1" customWidth="1"/>
    <col min="10227" max="10227" width="11.5546875" style="1215" bestFit="1" customWidth="1"/>
    <col min="10228" max="10228" width="8.44140625" style="1215" customWidth="1"/>
    <col min="10229" max="10229" width="13" style="1215" bestFit="1" customWidth="1"/>
    <col min="10230" max="10468" width="10.88671875" style="1215"/>
    <col min="10469" max="10469" width="8.5546875" style="1215" customWidth="1"/>
    <col min="10470" max="10470" width="50" style="1215" customWidth="1"/>
    <col min="10471" max="10471" width="6.44140625" style="1215" bestFit="1" customWidth="1"/>
    <col min="10472" max="10473" width="8.5546875" style="1215" customWidth="1"/>
    <col min="10474" max="10474" width="11.44140625" style="1215" bestFit="1" customWidth="1"/>
    <col min="10475" max="10475" width="7.5546875" style="1215" bestFit="1" customWidth="1"/>
    <col min="10476" max="10476" width="11.5546875" style="1215" bestFit="1" customWidth="1"/>
    <col min="10477" max="10477" width="8" style="1215" bestFit="1" customWidth="1"/>
    <col min="10478" max="10478" width="11.5546875" style="1215" bestFit="1" customWidth="1"/>
    <col min="10479" max="10479" width="8.44140625" style="1215" bestFit="1" customWidth="1"/>
    <col min="10480" max="10480" width="11.5546875" style="1215" bestFit="1" customWidth="1"/>
    <col min="10481" max="10481" width="8.44140625" style="1215" customWidth="1"/>
    <col min="10482" max="10482" width="7.44140625" style="1215" bestFit="1" customWidth="1"/>
    <col min="10483" max="10483" width="11.5546875" style="1215" bestFit="1" customWidth="1"/>
    <col min="10484" max="10484" width="8.44140625" style="1215" customWidth="1"/>
    <col min="10485" max="10485" width="13" style="1215" bestFit="1" customWidth="1"/>
    <col min="10486" max="10724" width="10.88671875" style="1215"/>
    <col min="10725" max="10725" width="8.5546875" style="1215" customWidth="1"/>
    <col min="10726" max="10726" width="50" style="1215" customWidth="1"/>
    <col min="10727" max="10727" width="6.44140625" style="1215" bestFit="1" customWidth="1"/>
    <col min="10728" max="10729" width="8.5546875" style="1215" customWidth="1"/>
    <col min="10730" max="10730" width="11.44140625" style="1215" bestFit="1" customWidth="1"/>
    <col min="10731" max="10731" width="7.5546875" style="1215" bestFit="1" customWidth="1"/>
    <col min="10732" max="10732" width="11.5546875" style="1215" bestFit="1" customWidth="1"/>
    <col min="10733" max="10733" width="8" style="1215" bestFit="1" customWidth="1"/>
    <col min="10734" max="10734" width="11.5546875" style="1215" bestFit="1" customWidth="1"/>
    <col min="10735" max="10735" width="8.44140625" style="1215" bestFit="1" customWidth="1"/>
    <col min="10736" max="10736" width="11.5546875" style="1215" bestFit="1" customWidth="1"/>
    <col min="10737" max="10737" width="8.44140625" style="1215" customWidth="1"/>
    <col min="10738" max="10738" width="7.44140625" style="1215" bestFit="1" customWidth="1"/>
    <col min="10739" max="10739" width="11.5546875" style="1215" bestFit="1" customWidth="1"/>
    <col min="10740" max="10740" width="8.44140625" style="1215" customWidth="1"/>
    <col min="10741" max="10741" width="13" style="1215" bestFit="1" customWidth="1"/>
    <col min="10742" max="10980" width="10.88671875" style="1215"/>
    <col min="10981" max="10981" width="8.5546875" style="1215" customWidth="1"/>
    <col min="10982" max="10982" width="50" style="1215" customWidth="1"/>
    <col min="10983" max="10983" width="6.44140625" style="1215" bestFit="1" customWidth="1"/>
    <col min="10984" max="10985" width="8.5546875" style="1215" customWidth="1"/>
    <col min="10986" max="10986" width="11.44140625" style="1215" bestFit="1" customWidth="1"/>
    <col min="10987" max="10987" width="7.5546875" style="1215" bestFit="1" customWidth="1"/>
    <col min="10988" max="10988" width="11.5546875" style="1215" bestFit="1" customWidth="1"/>
    <col min="10989" max="10989" width="8" style="1215" bestFit="1" customWidth="1"/>
    <col min="10990" max="10990" width="11.5546875" style="1215" bestFit="1" customWidth="1"/>
    <col min="10991" max="10991" width="8.44140625" style="1215" bestFit="1" customWidth="1"/>
    <col min="10992" max="10992" width="11.5546875" style="1215" bestFit="1" customWidth="1"/>
    <col min="10993" max="10993" width="8.44140625" style="1215" customWidth="1"/>
    <col min="10994" max="10994" width="7.44140625" style="1215" bestFit="1" customWidth="1"/>
    <col min="10995" max="10995" width="11.5546875" style="1215" bestFit="1" customWidth="1"/>
    <col min="10996" max="10996" width="8.44140625" style="1215" customWidth="1"/>
    <col min="10997" max="10997" width="13" style="1215" bestFit="1" customWidth="1"/>
    <col min="10998" max="11236" width="10.88671875" style="1215"/>
    <col min="11237" max="11237" width="8.5546875" style="1215" customWidth="1"/>
    <col min="11238" max="11238" width="50" style="1215" customWidth="1"/>
    <col min="11239" max="11239" width="6.44140625" style="1215" bestFit="1" customWidth="1"/>
    <col min="11240" max="11241" width="8.5546875" style="1215" customWidth="1"/>
    <col min="11242" max="11242" width="11.44140625" style="1215" bestFit="1" customWidth="1"/>
    <col min="11243" max="11243" width="7.5546875" style="1215" bestFit="1" customWidth="1"/>
    <col min="11244" max="11244" width="11.5546875" style="1215" bestFit="1" customWidth="1"/>
    <col min="11245" max="11245" width="8" style="1215" bestFit="1" customWidth="1"/>
    <col min="11246" max="11246" width="11.5546875" style="1215" bestFit="1" customWidth="1"/>
    <col min="11247" max="11247" width="8.44140625" style="1215" bestFit="1" customWidth="1"/>
    <col min="11248" max="11248" width="11.5546875" style="1215" bestFit="1" customWidth="1"/>
    <col min="11249" max="11249" width="8.44140625" style="1215" customWidth="1"/>
    <col min="11250" max="11250" width="7.44140625" style="1215" bestFit="1" customWidth="1"/>
    <col min="11251" max="11251" width="11.5546875" style="1215" bestFit="1" customWidth="1"/>
    <col min="11252" max="11252" width="8.44140625" style="1215" customWidth="1"/>
    <col min="11253" max="11253" width="13" style="1215" bestFit="1" customWidth="1"/>
    <col min="11254" max="11492" width="10.88671875" style="1215"/>
    <col min="11493" max="11493" width="8.5546875" style="1215" customWidth="1"/>
    <col min="11494" max="11494" width="50" style="1215" customWidth="1"/>
    <col min="11495" max="11495" width="6.44140625" style="1215" bestFit="1" customWidth="1"/>
    <col min="11496" max="11497" width="8.5546875" style="1215" customWidth="1"/>
    <col min="11498" max="11498" width="11.44140625" style="1215" bestFit="1" customWidth="1"/>
    <col min="11499" max="11499" width="7.5546875" style="1215" bestFit="1" customWidth="1"/>
    <col min="11500" max="11500" width="11.5546875" style="1215" bestFit="1" customWidth="1"/>
    <col min="11501" max="11501" width="8" style="1215" bestFit="1" customWidth="1"/>
    <col min="11502" max="11502" width="11.5546875" style="1215" bestFit="1" customWidth="1"/>
    <col min="11503" max="11503" width="8.44140625" style="1215" bestFit="1" customWidth="1"/>
    <col min="11504" max="11504" width="11.5546875" style="1215" bestFit="1" customWidth="1"/>
    <col min="11505" max="11505" width="8.44140625" style="1215" customWidth="1"/>
    <col min="11506" max="11506" width="7.44140625" style="1215" bestFit="1" customWidth="1"/>
    <col min="11507" max="11507" width="11.5546875" style="1215" bestFit="1" customWidth="1"/>
    <col min="11508" max="11508" width="8.44140625" style="1215" customWidth="1"/>
    <col min="11509" max="11509" width="13" style="1215" bestFit="1" customWidth="1"/>
    <col min="11510" max="11748" width="10.88671875" style="1215"/>
    <col min="11749" max="11749" width="8.5546875" style="1215" customWidth="1"/>
    <col min="11750" max="11750" width="50" style="1215" customWidth="1"/>
    <col min="11751" max="11751" width="6.44140625" style="1215" bestFit="1" customWidth="1"/>
    <col min="11752" max="11753" width="8.5546875" style="1215" customWidth="1"/>
    <col min="11754" max="11754" width="11.44140625" style="1215" bestFit="1" customWidth="1"/>
    <col min="11755" max="11755" width="7.5546875" style="1215" bestFit="1" customWidth="1"/>
    <col min="11756" max="11756" width="11.5546875" style="1215" bestFit="1" customWidth="1"/>
    <col min="11757" max="11757" width="8" style="1215" bestFit="1" customWidth="1"/>
    <col min="11758" max="11758" width="11.5546875" style="1215" bestFit="1" customWidth="1"/>
    <col min="11759" max="11759" width="8.44140625" style="1215" bestFit="1" customWidth="1"/>
    <col min="11760" max="11760" width="11.5546875" style="1215" bestFit="1" customWidth="1"/>
    <col min="11761" max="11761" width="8.44140625" style="1215" customWidth="1"/>
    <col min="11762" max="11762" width="7.44140625" style="1215" bestFit="1" customWidth="1"/>
    <col min="11763" max="11763" width="11.5546875" style="1215" bestFit="1" customWidth="1"/>
    <col min="11764" max="11764" width="8.44140625" style="1215" customWidth="1"/>
    <col min="11765" max="11765" width="13" style="1215" bestFit="1" customWidth="1"/>
    <col min="11766" max="12004" width="10.88671875" style="1215"/>
    <col min="12005" max="12005" width="8.5546875" style="1215" customWidth="1"/>
    <col min="12006" max="12006" width="50" style="1215" customWidth="1"/>
    <col min="12007" max="12007" width="6.44140625" style="1215" bestFit="1" customWidth="1"/>
    <col min="12008" max="12009" width="8.5546875" style="1215" customWidth="1"/>
    <col min="12010" max="12010" width="11.44140625" style="1215" bestFit="1" customWidth="1"/>
    <col min="12011" max="12011" width="7.5546875" style="1215" bestFit="1" customWidth="1"/>
    <col min="12012" max="12012" width="11.5546875" style="1215" bestFit="1" customWidth="1"/>
    <col min="12013" max="12013" width="8" style="1215" bestFit="1" customWidth="1"/>
    <col min="12014" max="12014" width="11.5546875" style="1215" bestFit="1" customWidth="1"/>
    <col min="12015" max="12015" width="8.44140625" style="1215" bestFit="1" customWidth="1"/>
    <col min="12016" max="12016" width="11.5546875" style="1215" bestFit="1" customWidth="1"/>
    <col min="12017" max="12017" width="8.44140625" style="1215" customWidth="1"/>
    <col min="12018" max="12018" width="7.44140625" style="1215" bestFit="1" customWidth="1"/>
    <col min="12019" max="12019" width="11.5546875" style="1215" bestFit="1" customWidth="1"/>
    <col min="12020" max="12020" width="8.44140625" style="1215" customWidth="1"/>
    <col min="12021" max="12021" width="13" style="1215" bestFit="1" customWidth="1"/>
    <col min="12022" max="12260" width="10.88671875" style="1215"/>
    <col min="12261" max="12261" width="8.5546875" style="1215" customWidth="1"/>
    <col min="12262" max="12262" width="50" style="1215" customWidth="1"/>
    <col min="12263" max="12263" width="6.44140625" style="1215" bestFit="1" customWidth="1"/>
    <col min="12264" max="12265" width="8.5546875" style="1215" customWidth="1"/>
    <col min="12266" max="12266" width="11.44140625" style="1215" bestFit="1" customWidth="1"/>
    <col min="12267" max="12267" width="7.5546875" style="1215" bestFit="1" customWidth="1"/>
    <col min="12268" max="12268" width="11.5546875" style="1215" bestFit="1" customWidth="1"/>
    <col min="12269" max="12269" width="8" style="1215" bestFit="1" customWidth="1"/>
    <col min="12270" max="12270" width="11.5546875" style="1215" bestFit="1" customWidth="1"/>
    <col min="12271" max="12271" width="8.44140625" style="1215" bestFit="1" customWidth="1"/>
    <col min="12272" max="12272" width="11.5546875" style="1215" bestFit="1" customWidth="1"/>
    <col min="12273" max="12273" width="8.44140625" style="1215" customWidth="1"/>
    <col min="12274" max="12274" width="7.44140625" style="1215" bestFit="1" customWidth="1"/>
    <col min="12275" max="12275" width="11.5546875" style="1215" bestFit="1" customWidth="1"/>
    <col min="12276" max="12276" width="8.44140625" style="1215" customWidth="1"/>
    <col min="12277" max="12277" width="13" style="1215" bestFit="1" customWidth="1"/>
    <col min="12278" max="12516" width="10.88671875" style="1215"/>
    <col min="12517" max="12517" width="8.5546875" style="1215" customWidth="1"/>
    <col min="12518" max="12518" width="50" style="1215" customWidth="1"/>
    <col min="12519" max="12519" width="6.44140625" style="1215" bestFit="1" customWidth="1"/>
    <col min="12520" max="12521" width="8.5546875" style="1215" customWidth="1"/>
    <col min="12522" max="12522" width="11.44140625" style="1215" bestFit="1" customWidth="1"/>
    <col min="12523" max="12523" width="7.5546875" style="1215" bestFit="1" customWidth="1"/>
    <col min="12524" max="12524" width="11.5546875" style="1215" bestFit="1" customWidth="1"/>
    <col min="12525" max="12525" width="8" style="1215" bestFit="1" customWidth="1"/>
    <col min="12526" max="12526" width="11.5546875" style="1215" bestFit="1" customWidth="1"/>
    <col min="12527" max="12527" width="8.44140625" style="1215" bestFit="1" customWidth="1"/>
    <col min="12528" max="12528" width="11.5546875" style="1215" bestFit="1" customWidth="1"/>
    <col min="12529" max="12529" width="8.44140625" style="1215" customWidth="1"/>
    <col min="12530" max="12530" width="7.44140625" style="1215" bestFit="1" customWidth="1"/>
    <col min="12531" max="12531" width="11.5546875" style="1215" bestFit="1" customWidth="1"/>
    <col min="12532" max="12532" width="8.44140625" style="1215" customWidth="1"/>
    <col min="12533" max="12533" width="13" style="1215" bestFit="1" customWidth="1"/>
    <col min="12534" max="12772" width="10.88671875" style="1215"/>
    <col min="12773" max="12773" width="8.5546875" style="1215" customWidth="1"/>
    <col min="12774" max="12774" width="50" style="1215" customWidth="1"/>
    <col min="12775" max="12775" width="6.44140625" style="1215" bestFit="1" customWidth="1"/>
    <col min="12776" max="12777" width="8.5546875" style="1215" customWidth="1"/>
    <col min="12778" max="12778" width="11.44140625" style="1215" bestFit="1" customWidth="1"/>
    <col min="12779" max="12779" width="7.5546875" style="1215" bestFit="1" customWidth="1"/>
    <col min="12780" max="12780" width="11.5546875" style="1215" bestFit="1" customWidth="1"/>
    <col min="12781" max="12781" width="8" style="1215" bestFit="1" customWidth="1"/>
    <col min="12782" max="12782" width="11.5546875" style="1215" bestFit="1" customWidth="1"/>
    <col min="12783" max="12783" width="8.44140625" style="1215" bestFit="1" customWidth="1"/>
    <col min="12784" max="12784" width="11.5546875" style="1215" bestFit="1" customWidth="1"/>
    <col min="12785" max="12785" width="8.44140625" style="1215" customWidth="1"/>
    <col min="12786" max="12786" width="7.44140625" style="1215" bestFit="1" customWidth="1"/>
    <col min="12787" max="12787" width="11.5546875" style="1215" bestFit="1" customWidth="1"/>
    <col min="12788" max="12788" width="8.44140625" style="1215" customWidth="1"/>
    <col min="12789" max="12789" width="13" style="1215" bestFit="1" customWidth="1"/>
    <col min="12790" max="13028" width="10.88671875" style="1215"/>
    <col min="13029" max="13029" width="8.5546875" style="1215" customWidth="1"/>
    <col min="13030" max="13030" width="50" style="1215" customWidth="1"/>
    <col min="13031" max="13031" width="6.44140625" style="1215" bestFit="1" customWidth="1"/>
    <col min="13032" max="13033" width="8.5546875" style="1215" customWidth="1"/>
    <col min="13034" max="13034" width="11.44140625" style="1215" bestFit="1" customWidth="1"/>
    <col min="13035" max="13035" width="7.5546875" style="1215" bestFit="1" customWidth="1"/>
    <col min="13036" max="13036" width="11.5546875" style="1215" bestFit="1" customWidth="1"/>
    <col min="13037" max="13037" width="8" style="1215" bestFit="1" customWidth="1"/>
    <col min="13038" max="13038" width="11.5546875" style="1215" bestFit="1" customWidth="1"/>
    <col min="13039" max="13039" width="8.44140625" style="1215" bestFit="1" customWidth="1"/>
    <col min="13040" max="13040" width="11.5546875" style="1215" bestFit="1" customWidth="1"/>
    <col min="13041" max="13041" width="8.44140625" style="1215" customWidth="1"/>
    <col min="13042" max="13042" width="7.44140625" style="1215" bestFit="1" customWidth="1"/>
    <col min="13043" max="13043" width="11.5546875" style="1215" bestFit="1" customWidth="1"/>
    <col min="13044" max="13044" width="8.44140625" style="1215" customWidth="1"/>
    <col min="13045" max="13045" width="13" style="1215" bestFit="1" customWidth="1"/>
    <col min="13046" max="13284" width="10.88671875" style="1215"/>
    <col min="13285" max="13285" width="8.5546875" style="1215" customWidth="1"/>
    <col min="13286" max="13286" width="50" style="1215" customWidth="1"/>
    <col min="13287" max="13287" width="6.44140625" style="1215" bestFit="1" customWidth="1"/>
    <col min="13288" max="13289" width="8.5546875" style="1215" customWidth="1"/>
    <col min="13290" max="13290" width="11.44140625" style="1215" bestFit="1" customWidth="1"/>
    <col min="13291" max="13291" width="7.5546875" style="1215" bestFit="1" customWidth="1"/>
    <col min="13292" max="13292" width="11.5546875" style="1215" bestFit="1" customWidth="1"/>
    <col min="13293" max="13293" width="8" style="1215" bestFit="1" customWidth="1"/>
    <col min="13294" max="13294" width="11.5546875" style="1215" bestFit="1" customWidth="1"/>
    <col min="13295" max="13295" width="8.44140625" style="1215" bestFit="1" customWidth="1"/>
    <col min="13296" max="13296" width="11.5546875" style="1215" bestFit="1" customWidth="1"/>
    <col min="13297" max="13297" width="8.44140625" style="1215" customWidth="1"/>
    <col min="13298" max="13298" width="7.44140625" style="1215" bestFit="1" customWidth="1"/>
    <col min="13299" max="13299" width="11.5546875" style="1215" bestFit="1" customWidth="1"/>
    <col min="13300" max="13300" width="8.44140625" style="1215" customWidth="1"/>
    <col min="13301" max="13301" width="13" style="1215" bestFit="1" customWidth="1"/>
    <col min="13302" max="13540" width="10.88671875" style="1215"/>
    <col min="13541" max="13541" width="8.5546875" style="1215" customWidth="1"/>
    <col min="13542" max="13542" width="50" style="1215" customWidth="1"/>
    <col min="13543" max="13543" width="6.44140625" style="1215" bestFit="1" customWidth="1"/>
    <col min="13544" max="13545" width="8.5546875" style="1215" customWidth="1"/>
    <col min="13546" max="13546" width="11.44140625" style="1215" bestFit="1" customWidth="1"/>
    <col min="13547" max="13547" width="7.5546875" style="1215" bestFit="1" customWidth="1"/>
    <col min="13548" max="13548" width="11.5546875" style="1215" bestFit="1" customWidth="1"/>
    <col min="13549" max="13549" width="8" style="1215" bestFit="1" customWidth="1"/>
    <col min="13550" max="13550" width="11.5546875" style="1215" bestFit="1" customWidth="1"/>
    <col min="13551" max="13551" width="8.44140625" style="1215" bestFit="1" customWidth="1"/>
    <col min="13552" max="13552" width="11.5546875" style="1215" bestFit="1" customWidth="1"/>
    <col min="13553" max="13553" width="8.44140625" style="1215" customWidth="1"/>
    <col min="13554" max="13554" width="7.44140625" style="1215" bestFit="1" customWidth="1"/>
    <col min="13555" max="13555" width="11.5546875" style="1215" bestFit="1" customWidth="1"/>
    <col min="13556" max="13556" width="8.44140625" style="1215" customWidth="1"/>
    <col min="13557" max="13557" width="13" style="1215" bestFit="1" customWidth="1"/>
    <col min="13558" max="13796" width="10.88671875" style="1215"/>
    <col min="13797" max="13797" width="8.5546875" style="1215" customWidth="1"/>
    <col min="13798" max="13798" width="50" style="1215" customWidth="1"/>
    <col min="13799" max="13799" width="6.44140625" style="1215" bestFit="1" customWidth="1"/>
    <col min="13800" max="13801" width="8.5546875" style="1215" customWidth="1"/>
    <col min="13802" max="13802" width="11.44140625" style="1215" bestFit="1" customWidth="1"/>
    <col min="13803" max="13803" width="7.5546875" style="1215" bestFit="1" customWidth="1"/>
    <col min="13804" max="13804" width="11.5546875" style="1215" bestFit="1" customWidth="1"/>
    <col min="13805" max="13805" width="8" style="1215" bestFit="1" customWidth="1"/>
    <col min="13806" max="13806" width="11.5546875" style="1215" bestFit="1" customWidth="1"/>
    <col min="13807" max="13807" width="8.44140625" style="1215" bestFit="1" customWidth="1"/>
    <col min="13808" max="13808" width="11.5546875" style="1215" bestFit="1" customWidth="1"/>
    <col min="13809" max="13809" width="8.44140625" style="1215" customWidth="1"/>
    <col min="13810" max="13810" width="7.44140625" style="1215" bestFit="1" customWidth="1"/>
    <col min="13811" max="13811" width="11.5546875" style="1215" bestFit="1" customWidth="1"/>
    <col min="13812" max="13812" width="8.44140625" style="1215" customWidth="1"/>
    <col min="13813" max="13813" width="13" style="1215" bestFit="1" customWidth="1"/>
    <col min="13814" max="14052" width="10.88671875" style="1215"/>
    <col min="14053" max="14053" width="8.5546875" style="1215" customWidth="1"/>
    <col min="14054" max="14054" width="50" style="1215" customWidth="1"/>
    <col min="14055" max="14055" width="6.44140625" style="1215" bestFit="1" customWidth="1"/>
    <col min="14056" max="14057" width="8.5546875" style="1215" customWidth="1"/>
    <col min="14058" max="14058" width="11.44140625" style="1215" bestFit="1" customWidth="1"/>
    <col min="14059" max="14059" width="7.5546875" style="1215" bestFit="1" customWidth="1"/>
    <col min="14060" max="14060" width="11.5546875" style="1215" bestFit="1" customWidth="1"/>
    <col min="14061" max="14061" width="8" style="1215" bestFit="1" customWidth="1"/>
    <col min="14062" max="14062" width="11.5546875" style="1215" bestFit="1" customWidth="1"/>
    <col min="14063" max="14063" width="8.44140625" style="1215" bestFit="1" customWidth="1"/>
    <col min="14064" max="14064" width="11.5546875" style="1215" bestFit="1" customWidth="1"/>
    <col min="14065" max="14065" width="8.44140625" style="1215" customWidth="1"/>
    <col min="14066" max="14066" width="7.44140625" style="1215" bestFit="1" customWidth="1"/>
    <col min="14067" max="14067" width="11.5546875" style="1215" bestFit="1" customWidth="1"/>
    <col min="14068" max="14068" width="8.44140625" style="1215" customWidth="1"/>
    <col min="14069" max="14069" width="13" style="1215" bestFit="1" customWidth="1"/>
    <col min="14070" max="14308" width="10.88671875" style="1215"/>
    <col min="14309" max="14309" width="8.5546875" style="1215" customWidth="1"/>
    <col min="14310" max="14310" width="50" style="1215" customWidth="1"/>
    <col min="14311" max="14311" width="6.44140625" style="1215" bestFit="1" customWidth="1"/>
    <col min="14312" max="14313" width="8.5546875" style="1215" customWidth="1"/>
    <col min="14314" max="14314" width="11.44140625" style="1215" bestFit="1" customWidth="1"/>
    <col min="14315" max="14315" width="7.5546875" style="1215" bestFit="1" customWidth="1"/>
    <col min="14316" max="14316" width="11.5546875" style="1215" bestFit="1" customWidth="1"/>
    <col min="14317" max="14317" width="8" style="1215" bestFit="1" customWidth="1"/>
    <col min="14318" max="14318" width="11.5546875" style="1215" bestFit="1" customWidth="1"/>
    <col min="14319" max="14319" width="8.44140625" style="1215" bestFit="1" customWidth="1"/>
    <col min="14320" max="14320" width="11.5546875" style="1215" bestFit="1" customWidth="1"/>
    <col min="14321" max="14321" width="8.44140625" style="1215" customWidth="1"/>
    <col min="14322" max="14322" width="7.44140625" style="1215" bestFit="1" customWidth="1"/>
    <col min="14323" max="14323" width="11.5546875" style="1215" bestFit="1" customWidth="1"/>
    <col min="14324" max="14324" width="8.44140625" style="1215" customWidth="1"/>
    <col min="14325" max="14325" width="13" style="1215" bestFit="1" customWidth="1"/>
    <col min="14326" max="14564" width="10.88671875" style="1215"/>
    <col min="14565" max="14565" width="8.5546875" style="1215" customWidth="1"/>
    <col min="14566" max="14566" width="50" style="1215" customWidth="1"/>
    <col min="14567" max="14567" width="6.44140625" style="1215" bestFit="1" customWidth="1"/>
    <col min="14568" max="14569" width="8.5546875" style="1215" customWidth="1"/>
    <col min="14570" max="14570" width="11.44140625" style="1215" bestFit="1" customWidth="1"/>
    <col min="14571" max="14571" width="7.5546875" style="1215" bestFit="1" customWidth="1"/>
    <col min="14572" max="14572" width="11.5546875" style="1215" bestFit="1" customWidth="1"/>
    <col min="14573" max="14573" width="8" style="1215" bestFit="1" customWidth="1"/>
    <col min="14574" max="14574" width="11.5546875" style="1215" bestFit="1" customWidth="1"/>
    <col min="14575" max="14575" width="8.44140625" style="1215" bestFit="1" customWidth="1"/>
    <col min="14576" max="14576" width="11.5546875" style="1215" bestFit="1" customWidth="1"/>
    <col min="14577" max="14577" width="8.44140625" style="1215" customWidth="1"/>
    <col min="14578" max="14578" width="7.44140625" style="1215" bestFit="1" customWidth="1"/>
    <col min="14579" max="14579" width="11.5546875" style="1215" bestFit="1" customWidth="1"/>
    <col min="14580" max="14580" width="8.44140625" style="1215" customWidth="1"/>
    <col min="14581" max="14581" width="13" style="1215" bestFit="1" customWidth="1"/>
    <col min="14582" max="14820" width="10.88671875" style="1215"/>
    <col min="14821" max="14821" width="8.5546875" style="1215" customWidth="1"/>
    <col min="14822" max="14822" width="50" style="1215" customWidth="1"/>
    <col min="14823" max="14823" width="6.44140625" style="1215" bestFit="1" customWidth="1"/>
    <col min="14824" max="14825" width="8.5546875" style="1215" customWidth="1"/>
    <col min="14826" max="14826" width="11.44140625" style="1215" bestFit="1" customWidth="1"/>
    <col min="14827" max="14827" width="7.5546875" style="1215" bestFit="1" customWidth="1"/>
    <col min="14828" max="14828" width="11.5546875" style="1215" bestFit="1" customWidth="1"/>
    <col min="14829" max="14829" width="8" style="1215" bestFit="1" customWidth="1"/>
    <col min="14830" max="14830" width="11.5546875" style="1215" bestFit="1" customWidth="1"/>
    <col min="14831" max="14831" width="8.44140625" style="1215" bestFit="1" customWidth="1"/>
    <col min="14832" max="14832" width="11.5546875" style="1215" bestFit="1" customWidth="1"/>
    <col min="14833" max="14833" width="8.44140625" style="1215" customWidth="1"/>
    <col min="14834" max="14834" width="7.44140625" style="1215" bestFit="1" customWidth="1"/>
    <col min="14835" max="14835" width="11.5546875" style="1215" bestFit="1" customWidth="1"/>
    <col min="14836" max="14836" width="8.44140625" style="1215" customWidth="1"/>
    <col min="14837" max="14837" width="13" style="1215" bestFit="1" customWidth="1"/>
    <col min="14838" max="15076" width="10.88671875" style="1215"/>
    <col min="15077" max="15077" width="8.5546875" style="1215" customWidth="1"/>
    <col min="15078" max="15078" width="50" style="1215" customWidth="1"/>
    <col min="15079" max="15079" width="6.44140625" style="1215" bestFit="1" customWidth="1"/>
    <col min="15080" max="15081" width="8.5546875" style="1215" customWidth="1"/>
    <col min="15082" max="15082" width="11.44140625" style="1215" bestFit="1" customWidth="1"/>
    <col min="15083" max="15083" width="7.5546875" style="1215" bestFit="1" customWidth="1"/>
    <col min="15084" max="15084" width="11.5546875" style="1215" bestFit="1" customWidth="1"/>
    <col min="15085" max="15085" width="8" style="1215" bestFit="1" customWidth="1"/>
    <col min="15086" max="15086" width="11.5546875" style="1215" bestFit="1" customWidth="1"/>
    <col min="15087" max="15087" width="8.44140625" style="1215" bestFit="1" customWidth="1"/>
    <col min="15088" max="15088" width="11.5546875" style="1215" bestFit="1" customWidth="1"/>
    <col min="15089" max="15089" width="8.44140625" style="1215" customWidth="1"/>
    <col min="15090" max="15090" width="7.44140625" style="1215" bestFit="1" customWidth="1"/>
    <col min="15091" max="15091" width="11.5546875" style="1215" bestFit="1" customWidth="1"/>
    <col min="15092" max="15092" width="8.44140625" style="1215" customWidth="1"/>
    <col min="15093" max="15093" width="13" style="1215" bestFit="1" customWidth="1"/>
    <col min="15094" max="15332" width="10.88671875" style="1215"/>
    <col min="15333" max="15333" width="8.5546875" style="1215" customWidth="1"/>
    <col min="15334" max="15334" width="50" style="1215" customWidth="1"/>
    <col min="15335" max="15335" width="6.44140625" style="1215" bestFit="1" customWidth="1"/>
    <col min="15336" max="15337" width="8.5546875" style="1215" customWidth="1"/>
    <col min="15338" max="15338" width="11.44140625" style="1215" bestFit="1" customWidth="1"/>
    <col min="15339" max="15339" width="7.5546875" style="1215" bestFit="1" customWidth="1"/>
    <col min="15340" max="15340" width="11.5546875" style="1215" bestFit="1" customWidth="1"/>
    <col min="15341" max="15341" width="8" style="1215" bestFit="1" customWidth="1"/>
    <col min="15342" max="15342" width="11.5546875" style="1215" bestFit="1" customWidth="1"/>
    <col min="15343" max="15343" width="8.44140625" style="1215" bestFit="1" customWidth="1"/>
    <col min="15344" max="15344" width="11.5546875" style="1215" bestFit="1" customWidth="1"/>
    <col min="15345" max="15345" width="8.44140625" style="1215" customWidth="1"/>
    <col min="15346" max="15346" width="7.44140625" style="1215" bestFit="1" customWidth="1"/>
    <col min="15347" max="15347" width="11.5546875" style="1215" bestFit="1" customWidth="1"/>
    <col min="15348" max="15348" width="8.44140625" style="1215" customWidth="1"/>
    <col min="15349" max="15349" width="13" style="1215" bestFit="1" customWidth="1"/>
    <col min="15350" max="15588" width="10.88671875" style="1215"/>
    <col min="15589" max="15589" width="8.5546875" style="1215" customWidth="1"/>
    <col min="15590" max="15590" width="50" style="1215" customWidth="1"/>
    <col min="15591" max="15591" width="6.44140625" style="1215" bestFit="1" customWidth="1"/>
    <col min="15592" max="15593" width="8.5546875" style="1215" customWidth="1"/>
    <col min="15594" max="15594" width="11.44140625" style="1215" bestFit="1" customWidth="1"/>
    <col min="15595" max="15595" width="7.5546875" style="1215" bestFit="1" customWidth="1"/>
    <col min="15596" max="15596" width="11.5546875" style="1215" bestFit="1" customWidth="1"/>
    <col min="15597" max="15597" width="8" style="1215" bestFit="1" customWidth="1"/>
    <col min="15598" max="15598" width="11.5546875" style="1215" bestFit="1" customWidth="1"/>
    <col min="15599" max="15599" width="8.44140625" style="1215" bestFit="1" customWidth="1"/>
    <col min="15600" max="15600" width="11.5546875" style="1215" bestFit="1" customWidth="1"/>
    <col min="15601" max="15601" width="8.44140625" style="1215" customWidth="1"/>
    <col min="15602" max="15602" width="7.44140625" style="1215" bestFit="1" customWidth="1"/>
    <col min="15603" max="15603" width="11.5546875" style="1215" bestFit="1" customWidth="1"/>
    <col min="15604" max="15604" width="8.44140625" style="1215" customWidth="1"/>
    <col min="15605" max="15605" width="13" style="1215" bestFit="1" customWidth="1"/>
    <col min="15606" max="15844" width="10.88671875" style="1215"/>
    <col min="15845" max="15845" width="8.5546875" style="1215" customWidth="1"/>
    <col min="15846" max="15846" width="50" style="1215" customWidth="1"/>
    <col min="15847" max="15847" width="6.44140625" style="1215" bestFit="1" customWidth="1"/>
    <col min="15848" max="15849" width="8.5546875" style="1215" customWidth="1"/>
    <col min="15850" max="15850" width="11.44140625" style="1215" bestFit="1" customWidth="1"/>
    <col min="15851" max="15851" width="7.5546875" style="1215" bestFit="1" customWidth="1"/>
    <col min="15852" max="15852" width="11.5546875" style="1215" bestFit="1" customWidth="1"/>
    <col min="15853" max="15853" width="8" style="1215" bestFit="1" customWidth="1"/>
    <col min="15854" max="15854" width="11.5546875" style="1215" bestFit="1" customWidth="1"/>
    <col min="15855" max="15855" width="8.44140625" style="1215" bestFit="1" customWidth="1"/>
    <col min="15856" max="15856" width="11.5546875" style="1215" bestFit="1" customWidth="1"/>
    <col min="15857" max="15857" width="8.44140625" style="1215" customWidth="1"/>
    <col min="15858" max="15858" width="7.44140625" style="1215" bestFit="1" customWidth="1"/>
    <col min="15859" max="15859" width="11.5546875" style="1215" bestFit="1" customWidth="1"/>
    <col min="15860" max="15860" width="8.44140625" style="1215" customWidth="1"/>
    <col min="15861" max="15861" width="13" style="1215" bestFit="1" customWidth="1"/>
    <col min="15862" max="16100" width="10.88671875" style="1215"/>
    <col min="16101" max="16101" width="8.5546875" style="1215" customWidth="1"/>
    <col min="16102" max="16102" width="50" style="1215" customWidth="1"/>
    <col min="16103" max="16103" width="6.44140625" style="1215" bestFit="1" customWidth="1"/>
    <col min="16104" max="16105" width="8.5546875" style="1215" customWidth="1"/>
    <col min="16106" max="16106" width="11.44140625" style="1215" bestFit="1" customWidth="1"/>
    <col min="16107" max="16107" width="7.5546875" style="1215" bestFit="1" customWidth="1"/>
    <col min="16108" max="16108" width="11.5546875" style="1215" bestFit="1" customWidth="1"/>
    <col min="16109" max="16109" width="8" style="1215" bestFit="1" customWidth="1"/>
    <col min="16110" max="16110" width="11.5546875" style="1215" bestFit="1" customWidth="1"/>
    <col min="16111" max="16111" width="8.44140625" style="1215" bestFit="1" customWidth="1"/>
    <col min="16112" max="16112" width="11.5546875" style="1215" bestFit="1" customWidth="1"/>
    <col min="16113" max="16113" width="8.44140625" style="1215" customWidth="1"/>
    <col min="16114" max="16114" width="7.44140625" style="1215" bestFit="1" customWidth="1"/>
    <col min="16115" max="16115" width="11.5546875" style="1215" bestFit="1" customWidth="1"/>
    <col min="16116" max="16116" width="8.44140625" style="1215" customWidth="1"/>
    <col min="16117" max="16117" width="13" style="1215" bestFit="1" customWidth="1"/>
    <col min="16118" max="16333" width="10.88671875" style="1215"/>
    <col min="16334" max="16383" width="11.5546875" style="1215" customWidth="1"/>
    <col min="16384" max="16384" width="11.5546875" style="1215"/>
  </cols>
  <sheetData>
    <row r="1" spans="2:10" ht="7.8" customHeight="1">
      <c r="C1" s="2193"/>
      <c r="D1" s="2193"/>
      <c r="E1" s="2193"/>
    </row>
    <row r="2" spans="2:10" ht="14.4">
      <c r="C2" s="1464" t="s">
        <v>2181</v>
      </c>
      <c r="D2" s="1455"/>
      <c r="E2" s="1455"/>
      <c r="F2" s="1465"/>
      <c r="G2" s="1469"/>
      <c r="H2" s="1455"/>
      <c r="I2" s="1455"/>
      <c r="J2" s="1455"/>
    </row>
    <row r="3" spans="2:10" ht="14.4">
      <c r="C3" s="1464"/>
      <c r="D3" s="1455"/>
      <c r="E3" s="1455"/>
      <c r="F3" s="1465"/>
      <c r="G3" s="1469"/>
      <c r="H3" s="1455"/>
      <c r="I3" s="1455"/>
      <c r="J3" s="1455"/>
    </row>
    <row r="4" spans="2:10" ht="14.4">
      <c r="C4" s="1464" t="s">
        <v>4357</v>
      </c>
      <c r="D4" s="1455"/>
      <c r="E4" s="1455"/>
      <c r="F4" s="1465"/>
      <c r="G4" s="1469"/>
      <c r="H4" s="1455"/>
      <c r="I4" s="1455"/>
      <c r="J4" s="1455"/>
    </row>
    <row r="5" spans="2:10" ht="15" thickBot="1">
      <c r="G5" s="1469"/>
    </row>
    <row r="6" spans="2:10" ht="13.35" customHeight="1">
      <c r="C6" s="2869" t="s">
        <v>20</v>
      </c>
      <c r="D6" s="2869" t="s">
        <v>21</v>
      </c>
      <c r="E6" s="2869" t="s">
        <v>4339</v>
      </c>
      <c r="F6" s="2869" t="s">
        <v>4354</v>
      </c>
      <c r="G6" s="1469"/>
    </row>
    <row r="7" spans="2:10" ht="13.35" customHeight="1">
      <c r="C7" s="2870"/>
      <c r="D7" s="2870"/>
      <c r="E7" s="2870"/>
      <c r="F7" s="2870"/>
      <c r="G7" s="1469"/>
    </row>
    <row r="8" spans="2:10" ht="12" customHeight="1">
      <c r="C8" s="2870"/>
      <c r="D8" s="2870"/>
      <c r="E8" s="2870"/>
      <c r="F8" s="2870"/>
      <c r="G8" s="1469"/>
    </row>
    <row r="9" spans="2:10" ht="28.5" customHeight="1" thickBot="1">
      <c r="C9" s="2871"/>
      <c r="D9" s="2871"/>
      <c r="E9" s="2871"/>
      <c r="F9" s="2871"/>
      <c r="G9" s="1469"/>
    </row>
    <row r="10" spans="2:10" s="1416" customFormat="1" ht="14.4">
      <c r="B10" s="2140" t="s">
        <v>3630</v>
      </c>
      <c r="C10" s="1554" t="s">
        <v>33</v>
      </c>
      <c r="D10" s="1555" t="s">
        <v>1132</v>
      </c>
      <c r="E10" s="1556"/>
      <c r="F10" s="2317"/>
      <c r="G10" s="1469"/>
    </row>
    <row r="11" spans="2:10" s="1417" customFormat="1" ht="14.4">
      <c r="B11" s="2141"/>
      <c r="C11" s="1263" t="s">
        <v>35</v>
      </c>
      <c r="D11" s="1264" t="s">
        <v>2834</v>
      </c>
      <c r="E11" s="1274"/>
      <c r="F11" s="2317"/>
      <c r="G11" s="1469"/>
    </row>
    <row r="12" spans="2:10" s="1417" customFormat="1">
      <c r="B12" s="2141"/>
      <c r="C12" s="1268" t="s">
        <v>537</v>
      </c>
      <c r="D12" s="1241" t="s">
        <v>2835</v>
      </c>
      <c r="E12" s="1245" t="s">
        <v>41</v>
      </c>
      <c r="F12" s="2317" t="e">
        <f>+'VAL. PRINC'!#REF!</f>
        <v>#REF!</v>
      </c>
      <c r="G12" s="2288"/>
    </row>
    <row r="13" spans="2:10" s="1416" customFormat="1" hidden="1">
      <c r="B13" s="2140"/>
      <c r="C13" s="1263" t="s">
        <v>39</v>
      </c>
      <c r="D13" s="1264" t="s">
        <v>2836</v>
      </c>
      <c r="E13" s="1265"/>
      <c r="F13" s="2317"/>
      <c r="G13" s="2296"/>
    </row>
    <row r="14" spans="2:10" s="1416" customFormat="1" hidden="1">
      <c r="B14" s="2140"/>
      <c r="C14" s="1268" t="s">
        <v>542</v>
      </c>
      <c r="D14" s="1241" t="s">
        <v>2837</v>
      </c>
      <c r="E14" s="1245" t="s">
        <v>37</v>
      </c>
      <c r="F14" s="2317" t="e">
        <f>+'VAL. PRINC'!#REF!</f>
        <v>#REF!</v>
      </c>
      <c r="G14" s="2288"/>
    </row>
    <row r="15" spans="2:10" s="1417" customFormat="1" hidden="1">
      <c r="B15" s="2141"/>
      <c r="C15" s="1268" t="s">
        <v>543</v>
      </c>
      <c r="D15" s="1241" t="s">
        <v>2838</v>
      </c>
      <c r="E15" s="1245" t="s">
        <v>37</v>
      </c>
      <c r="F15" s="2317" t="e">
        <f>+'VAL. PRINC'!#REF!</f>
        <v>#REF!</v>
      </c>
      <c r="G15" s="2288"/>
    </row>
    <row r="16" spans="2:10" s="1416" customFormat="1" hidden="1">
      <c r="B16" s="2140"/>
      <c r="C16" s="1268" t="s">
        <v>544</v>
      </c>
      <c r="D16" s="1241" t="s">
        <v>2839</v>
      </c>
      <c r="E16" s="1245" t="s">
        <v>37</v>
      </c>
      <c r="F16" s="2317" t="e">
        <f>+'VAL. PRINC'!#REF!</f>
        <v>#REF!</v>
      </c>
      <c r="G16" s="2288"/>
    </row>
    <row r="17" spans="2:7" s="1417" customFormat="1" hidden="1">
      <c r="B17" s="2141"/>
      <c r="C17" s="1268" t="s">
        <v>2248</v>
      </c>
      <c r="D17" s="1241" t="s">
        <v>2840</v>
      </c>
      <c r="E17" s="1245" t="s">
        <v>38</v>
      </c>
      <c r="F17" s="2317" t="e">
        <f>+'VAL. PRINC'!#REF!</f>
        <v>#REF!</v>
      </c>
      <c r="G17" s="2288"/>
    </row>
    <row r="18" spans="2:7" s="1417" customFormat="1" hidden="1">
      <c r="B18" s="2141" t="s">
        <v>3630</v>
      </c>
      <c r="C18" s="1268" t="s">
        <v>2249</v>
      </c>
      <c r="D18" s="1241" t="s">
        <v>2841</v>
      </c>
      <c r="E18" s="1245" t="s">
        <v>1451</v>
      </c>
      <c r="F18" s="2317" t="e">
        <f>+'VAL. PRINC'!#REF!</f>
        <v>#REF!</v>
      </c>
      <c r="G18" s="2288"/>
    </row>
    <row r="19" spans="2:7" s="1416" customFormat="1" hidden="1">
      <c r="B19" s="2140" t="s">
        <v>3630</v>
      </c>
      <c r="C19" s="1263" t="s">
        <v>545</v>
      </c>
      <c r="D19" s="1264" t="s">
        <v>2842</v>
      </c>
      <c r="E19" s="1265"/>
      <c r="F19" s="2317"/>
      <c r="G19" s="2296"/>
    </row>
    <row r="20" spans="2:7" s="1416" customFormat="1" hidden="1">
      <c r="B20" s="2140"/>
      <c r="C20" s="1268" t="s">
        <v>546</v>
      </c>
      <c r="D20" s="1241" t="s">
        <v>2843</v>
      </c>
      <c r="E20" s="1245" t="s">
        <v>41</v>
      </c>
      <c r="F20" s="2317" t="e">
        <f>+'VAL. PRINC'!#REF!</f>
        <v>#REF!</v>
      </c>
      <c r="G20" s="2288"/>
    </row>
    <row r="21" spans="2:7" s="1417" customFormat="1" hidden="1">
      <c r="B21" s="2141" t="s">
        <v>3630</v>
      </c>
      <c r="C21" s="1268" t="s">
        <v>547</v>
      </c>
      <c r="D21" s="1241" t="s">
        <v>2844</v>
      </c>
      <c r="E21" s="1245" t="s">
        <v>41</v>
      </c>
      <c r="F21" s="2317" t="e">
        <f>+'VAL. PRINC'!#REF!</f>
        <v>#REF!</v>
      </c>
      <c r="G21" s="2288"/>
    </row>
    <row r="22" spans="2:7" s="1417" customFormat="1" hidden="1">
      <c r="B22" s="2141" t="s">
        <v>3630</v>
      </c>
      <c r="C22" s="1268" t="s">
        <v>2250</v>
      </c>
      <c r="D22" s="1241" t="s">
        <v>2845</v>
      </c>
      <c r="E22" s="1245" t="s">
        <v>41</v>
      </c>
      <c r="F22" s="2317" t="e">
        <f>+'VAL. PRINC'!#REF!</f>
        <v>#REF!</v>
      </c>
      <c r="G22" s="2288"/>
    </row>
    <row r="23" spans="2:7" s="1416" customFormat="1" hidden="1">
      <c r="B23" s="2140"/>
      <c r="C23" s="1268" t="s">
        <v>2251</v>
      </c>
      <c r="D23" s="1241" t="s">
        <v>2846</v>
      </c>
      <c r="E23" s="1245" t="s">
        <v>41</v>
      </c>
      <c r="F23" s="2317" t="e">
        <f>+'VAL. PRINC'!#REF!</f>
        <v>#REF!</v>
      </c>
      <c r="G23" s="2288"/>
    </row>
    <row r="24" spans="2:7" s="1417" customFormat="1">
      <c r="B24" s="2141"/>
      <c r="C24" s="1263" t="s">
        <v>548</v>
      </c>
      <c r="D24" s="1264" t="s">
        <v>2847</v>
      </c>
      <c r="E24" s="1265"/>
      <c r="F24" s="2317"/>
      <c r="G24" s="2296"/>
    </row>
    <row r="25" spans="2:7" s="1417" customFormat="1" hidden="1">
      <c r="B25" s="2141"/>
      <c r="C25" s="1268" t="s">
        <v>549</v>
      </c>
      <c r="D25" s="1241" t="s">
        <v>2848</v>
      </c>
      <c r="E25" s="1245" t="s">
        <v>37</v>
      </c>
      <c r="F25" s="2317" t="e">
        <f>+'VAL. PRINC'!#REF!</f>
        <v>#REF!</v>
      </c>
      <c r="G25" s="2288"/>
    </row>
    <row r="26" spans="2:7" s="1231" customFormat="1">
      <c r="B26" s="2142" t="s">
        <v>3630</v>
      </c>
      <c r="C26" s="1268" t="s">
        <v>550</v>
      </c>
      <c r="D26" s="1241" t="s">
        <v>2849</v>
      </c>
      <c r="E26" s="1245" t="s">
        <v>37</v>
      </c>
      <c r="F26" s="2317" t="e">
        <f>+'VAL. PRINC'!#REF!</f>
        <v>#REF!</v>
      </c>
      <c r="G26" s="2288"/>
    </row>
    <row r="27" spans="2:7" s="1417" customFormat="1" hidden="1">
      <c r="B27" s="2141" t="s">
        <v>3630</v>
      </c>
      <c r="C27" s="1268" t="s">
        <v>2252</v>
      </c>
      <c r="D27" s="1241" t="s">
        <v>2850</v>
      </c>
      <c r="E27" s="1245" t="s">
        <v>37</v>
      </c>
      <c r="F27" s="2317" t="e">
        <f>+'VAL. PRINC'!#REF!</f>
        <v>#REF!</v>
      </c>
      <c r="G27" s="2288"/>
    </row>
    <row r="28" spans="2:7" s="1231" customFormat="1" hidden="1">
      <c r="B28" s="2142" t="s">
        <v>3630</v>
      </c>
      <c r="C28" s="1263" t="s">
        <v>551</v>
      </c>
      <c r="D28" s="1264" t="s">
        <v>2851</v>
      </c>
      <c r="E28" s="1265"/>
      <c r="F28" s="2317"/>
      <c r="G28" s="2296"/>
    </row>
    <row r="29" spans="2:7" s="1231" customFormat="1" hidden="1">
      <c r="B29" s="2142" t="s">
        <v>3630</v>
      </c>
      <c r="C29" s="1268" t="s">
        <v>552</v>
      </c>
      <c r="D29" s="1241" t="s">
        <v>2852</v>
      </c>
      <c r="E29" s="1245" t="s">
        <v>36</v>
      </c>
      <c r="F29" s="2317" t="e">
        <f>+'VAL. PRINC'!#REF!</f>
        <v>#REF!</v>
      </c>
      <c r="G29" s="2288"/>
    </row>
    <row r="30" spans="2:7" s="1417" customFormat="1" hidden="1">
      <c r="B30" s="2141" t="s">
        <v>3630</v>
      </c>
      <c r="C30" s="1268" t="s">
        <v>553</v>
      </c>
      <c r="D30" s="1241" t="s">
        <v>2853</v>
      </c>
      <c r="E30" s="1245" t="s">
        <v>36</v>
      </c>
      <c r="F30" s="2317" t="e">
        <f>+'VAL. PRINC'!#REF!</f>
        <v>#REF!</v>
      </c>
      <c r="G30" s="2288"/>
    </row>
    <row r="31" spans="2:7" s="1417" customFormat="1" hidden="1">
      <c r="B31" s="2141"/>
      <c r="C31" s="1268" t="s">
        <v>554</v>
      </c>
      <c r="D31" s="1241" t="s">
        <v>2854</v>
      </c>
      <c r="E31" s="1245" t="s">
        <v>36</v>
      </c>
      <c r="F31" s="2317" t="e">
        <f>+'VAL. PRINC'!#REF!</f>
        <v>#REF!</v>
      </c>
      <c r="G31" s="2288"/>
    </row>
    <row r="32" spans="2:7" s="1417" customFormat="1" hidden="1">
      <c r="B32" s="2141" t="s">
        <v>3630</v>
      </c>
      <c r="C32" s="1268" t="s">
        <v>555</v>
      </c>
      <c r="D32" s="1241" t="s">
        <v>2855</v>
      </c>
      <c r="E32" s="1245" t="s">
        <v>36</v>
      </c>
      <c r="F32" s="2317" t="e">
        <f>+'VAL. PRINC'!#REF!</f>
        <v>#REF!</v>
      </c>
      <c r="G32" s="2288"/>
    </row>
    <row r="33" spans="2:7" s="1231" customFormat="1" hidden="1">
      <c r="B33" s="2142" t="s">
        <v>3630</v>
      </c>
      <c r="C33" s="1268" t="s">
        <v>556</v>
      </c>
      <c r="D33" s="1241" t="s">
        <v>2856</v>
      </c>
      <c r="E33" s="1245" t="s">
        <v>36</v>
      </c>
      <c r="F33" s="2317" t="e">
        <f>+'VAL. PRINC'!#REF!</f>
        <v>#REF!</v>
      </c>
      <c r="G33" s="2288"/>
    </row>
    <row r="34" spans="2:7" s="1417" customFormat="1" hidden="1">
      <c r="B34" s="2141"/>
      <c r="C34" s="1268" t="s">
        <v>557</v>
      </c>
      <c r="D34" s="1241" t="s">
        <v>2857</v>
      </c>
      <c r="E34" s="1245" t="s">
        <v>36</v>
      </c>
      <c r="F34" s="2317" t="e">
        <f>+'VAL. PRINC'!#REF!</f>
        <v>#REF!</v>
      </c>
      <c r="G34" s="2288"/>
    </row>
    <row r="35" spans="2:7" s="1417" customFormat="1" hidden="1">
      <c r="B35" s="2141"/>
      <c r="C35" s="1268" t="s">
        <v>2253</v>
      </c>
      <c r="D35" s="1241" t="s">
        <v>2858</v>
      </c>
      <c r="E35" s="1245" t="s">
        <v>37</v>
      </c>
      <c r="F35" s="2317" t="e">
        <f>+'VAL. PRINC'!#REF!</f>
        <v>#REF!</v>
      </c>
      <c r="G35" s="2288"/>
    </row>
    <row r="36" spans="2:7" s="1416" customFormat="1" hidden="1">
      <c r="B36" s="2140" t="s">
        <v>3630</v>
      </c>
      <c r="C36" s="1268" t="s">
        <v>2254</v>
      </c>
      <c r="D36" s="1241" t="s">
        <v>2859</v>
      </c>
      <c r="E36" s="1245" t="s">
        <v>38</v>
      </c>
      <c r="F36" s="2317" t="e">
        <f>+'VAL. PRINC'!#REF!</f>
        <v>#REF!</v>
      </c>
      <c r="G36" s="2288"/>
    </row>
    <row r="37" spans="2:7" s="1416" customFormat="1" hidden="1">
      <c r="B37" s="2140" t="s">
        <v>3630</v>
      </c>
      <c r="C37" s="1268" t="s">
        <v>2255</v>
      </c>
      <c r="D37" s="1241" t="s">
        <v>2860</v>
      </c>
      <c r="E37" s="1245" t="s">
        <v>36</v>
      </c>
      <c r="F37" s="2317" t="e">
        <f>+'VAL. PRINC'!#REF!</f>
        <v>#REF!</v>
      </c>
      <c r="G37" s="2288"/>
    </row>
    <row r="38" spans="2:7" s="1417" customFormat="1" hidden="1">
      <c r="B38" s="2141" t="s">
        <v>3630</v>
      </c>
      <c r="C38" s="1268" t="s">
        <v>2256</v>
      </c>
      <c r="D38" s="1241" t="s">
        <v>2861</v>
      </c>
      <c r="E38" s="1245" t="s">
        <v>38</v>
      </c>
      <c r="F38" s="2317" t="e">
        <f>+'VAL. PRINC'!#REF!</f>
        <v>#REF!</v>
      </c>
      <c r="G38" s="2288"/>
    </row>
    <row r="39" spans="2:7" s="1417" customFormat="1" hidden="1">
      <c r="B39" s="2141" t="s">
        <v>3630</v>
      </c>
      <c r="C39" s="1268" t="s">
        <v>2257</v>
      </c>
      <c r="D39" s="1241" t="s">
        <v>2862</v>
      </c>
      <c r="E39" s="1245" t="s">
        <v>36</v>
      </c>
      <c r="F39" s="2317" t="e">
        <f>+'VAL. PRINC'!#REF!</f>
        <v>#REF!</v>
      </c>
      <c r="G39" s="2288"/>
    </row>
    <row r="40" spans="2:7" s="1417" customFormat="1" hidden="1">
      <c r="B40" s="2141" t="s">
        <v>3630</v>
      </c>
      <c r="C40" s="1268" t="s">
        <v>2258</v>
      </c>
      <c r="D40" s="1241" t="s">
        <v>2863</v>
      </c>
      <c r="E40" s="1245" t="s">
        <v>36</v>
      </c>
      <c r="F40" s="2317" t="e">
        <f>+'VAL. PRINC'!#REF!</f>
        <v>#REF!</v>
      </c>
      <c r="G40" s="2288"/>
    </row>
    <row r="41" spans="2:7" s="1231" customFormat="1" hidden="1">
      <c r="B41" s="2142" t="s">
        <v>3630</v>
      </c>
      <c r="C41" s="1268" t="s">
        <v>2259</v>
      </c>
      <c r="D41" s="1241" t="s">
        <v>2864</v>
      </c>
      <c r="E41" s="1245" t="s">
        <v>36</v>
      </c>
      <c r="F41" s="2317" t="e">
        <f>+'VAL. PRINC'!#REF!</f>
        <v>#REF!</v>
      </c>
      <c r="G41" s="2288"/>
    </row>
    <row r="42" spans="2:7" s="1416" customFormat="1" hidden="1">
      <c r="B42" s="2140"/>
      <c r="C42" s="1268" t="s">
        <v>2260</v>
      </c>
      <c r="D42" s="1241" t="s">
        <v>2865</v>
      </c>
      <c r="E42" s="1245" t="s">
        <v>36</v>
      </c>
      <c r="F42" s="2317" t="e">
        <f>+'VAL. PRINC'!#REF!</f>
        <v>#REF!</v>
      </c>
      <c r="G42" s="2288"/>
    </row>
    <row r="43" spans="2:7" s="1417" customFormat="1" hidden="1">
      <c r="B43" s="2141"/>
      <c r="C43" s="1268" t="s">
        <v>2261</v>
      </c>
      <c r="D43" s="1241" t="s">
        <v>2866</v>
      </c>
      <c r="E43" s="1245" t="s">
        <v>36</v>
      </c>
      <c r="F43" s="2317" t="e">
        <f>+'VAL. PRINC'!#REF!</f>
        <v>#REF!</v>
      </c>
      <c r="G43" s="2288"/>
    </row>
    <row r="44" spans="2:7" s="1417" customFormat="1" hidden="1">
      <c r="B44" s="2141"/>
      <c r="C44" s="1268" t="s">
        <v>2262</v>
      </c>
      <c r="D44" s="1241" t="s">
        <v>2867</v>
      </c>
      <c r="E44" s="1245" t="s">
        <v>36</v>
      </c>
      <c r="F44" s="2317" t="e">
        <f>+'VAL. PRINC'!#REF!</f>
        <v>#REF!</v>
      </c>
      <c r="G44" s="2288"/>
    </row>
    <row r="45" spans="2:7" s="1417" customFormat="1" hidden="1">
      <c r="B45" s="2141"/>
      <c r="C45" s="1268" t="s">
        <v>2263</v>
      </c>
      <c r="D45" s="1241" t="s">
        <v>2868</v>
      </c>
      <c r="E45" s="1245" t="s">
        <v>38</v>
      </c>
      <c r="F45" s="2317" t="e">
        <f>+'VAL. PRINC'!#REF!</f>
        <v>#REF!</v>
      </c>
      <c r="G45" s="2288"/>
    </row>
    <row r="46" spans="2:7" s="1417" customFormat="1" hidden="1">
      <c r="B46" s="2141"/>
      <c r="C46" s="1268" t="s">
        <v>2264</v>
      </c>
      <c r="D46" s="1241" t="s">
        <v>2869</v>
      </c>
      <c r="E46" s="1245" t="s">
        <v>36</v>
      </c>
      <c r="F46" s="2317" t="e">
        <f>+'VAL. PRINC'!#REF!</f>
        <v>#REF!</v>
      </c>
      <c r="G46" s="2288"/>
    </row>
    <row r="47" spans="2:7" s="1416" customFormat="1" hidden="1">
      <c r="B47" s="2140"/>
      <c r="C47" s="2169" t="s">
        <v>2265</v>
      </c>
      <c r="D47" s="2170" t="s">
        <v>2870</v>
      </c>
      <c r="E47" s="1245" t="s">
        <v>38</v>
      </c>
      <c r="F47" s="2317" t="e">
        <f>+'VAL. PRINC'!#REF!</f>
        <v>#REF!</v>
      </c>
      <c r="G47" s="2288"/>
    </row>
    <row r="48" spans="2:7" s="1417" customFormat="1" hidden="1">
      <c r="B48" s="2141"/>
      <c r="C48" s="1268" t="s">
        <v>2266</v>
      </c>
      <c r="D48" s="1241" t="s">
        <v>2871</v>
      </c>
      <c r="E48" s="1245" t="s">
        <v>38</v>
      </c>
      <c r="F48" s="2317" t="e">
        <f>+'VAL. PRINC'!#REF!</f>
        <v>#REF!</v>
      </c>
      <c r="G48" s="2288"/>
    </row>
    <row r="49" spans="2:7" s="1417" customFormat="1" hidden="1">
      <c r="B49" s="2141" t="s">
        <v>3630</v>
      </c>
      <c r="C49" s="1268" t="s">
        <v>2267</v>
      </c>
      <c r="D49" s="1241" t="s">
        <v>2872</v>
      </c>
      <c r="E49" s="1245" t="s">
        <v>37</v>
      </c>
      <c r="F49" s="2317" t="e">
        <f>+'VAL. PRINC'!#REF!</f>
        <v>#REF!</v>
      </c>
      <c r="G49" s="2288"/>
    </row>
    <row r="50" spans="2:7" s="1417" customFormat="1" hidden="1">
      <c r="B50" s="2141" t="s">
        <v>3630</v>
      </c>
      <c r="C50" s="1268" t="s">
        <v>2268</v>
      </c>
      <c r="D50" s="1241" t="s">
        <v>2873</v>
      </c>
      <c r="E50" s="1245" t="s">
        <v>37</v>
      </c>
      <c r="F50" s="2317" t="e">
        <f>+'VAL. PRINC'!#REF!</f>
        <v>#REF!</v>
      </c>
      <c r="G50" s="2288"/>
    </row>
    <row r="51" spans="2:7" s="1417" customFormat="1" hidden="1">
      <c r="B51" s="2141" t="s">
        <v>3630</v>
      </c>
      <c r="C51" s="1268" t="s">
        <v>2269</v>
      </c>
      <c r="D51" s="1241" t="s">
        <v>2874</v>
      </c>
      <c r="E51" s="1245" t="s">
        <v>40</v>
      </c>
      <c r="F51" s="2317" t="e">
        <f>+'VAL. PRINC'!#REF!</f>
        <v>#REF!</v>
      </c>
      <c r="G51" s="2288"/>
    </row>
    <row r="52" spans="2:7" s="1417" customFormat="1" hidden="1">
      <c r="B52" s="2141" t="s">
        <v>3630</v>
      </c>
      <c r="C52" s="1268" t="s">
        <v>2270</v>
      </c>
      <c r="D52" s="1241" t="s">
        <v>2875</v>
      </c>
      <c r="E52" s="1245" t="s">
        <v>40</v>
      </c>
      <c r="F52" s="2317" t="e">
        <f>+'VAL. PRINC'!#REF!</f>
        <v>#REF!</v>
      </c>
      <c r="G52" s="2288"/>
    </row>
    <row r="53" spans="2:7" s="1417" customFormat="1" hidden="1">
      <c r="B53" s="2141" t="s">
        <v>3630</v>
      </c>
      <c r="C53" s="2169" t="s">
        <v>2271</v>
      </c>
      <c r="D53" s="2170" t="s">
        <v>2876</v>
      </c>
      <c r="E53" s="2269" t="s">
        <v>40</v>
      </c>
      <c r="F53" s="2317" t="e">
        <f>+'VAL. PRINC'!#REF!</f>
        <v>#REF!</v>
      </c>
      <c r="G53" s="2288"/>
    </row>
    <row r="54" spans="2:7" s="1417" customFormat="1" hidden="1">
      <c r="B54" s="2141" t="s">
        <v>3630</v>
      </c>
      <c r="C54" s="1268" t="s">
        <v>2272</v>
      </c>
      <c r="D54" s="1241" t="s">
        <v>2877</v>
      </c>
      <c r="E54" s="1245" t="s">
        <v>40</v>
      </c>
      <c r="F54" s="2317" t="e">
        <f>+'VAL. PRINC'!#REF!</f>
        <v>#REF!</v>
      </c>
      <c r="G54" s="2288"/>
    </row>
    <row r="55" spans="2:7" s="1417" customFormat="1" ht="13.5" hidden="1" customHeight="1">
      <c r="B55" s="2141" t="s">
        <v>3630</v>
      </c>
      <c r="C55" s="1268" t="s">
        <v>2273</v>
      </c>
      <c r="D55" s="1241" t="s">
        <v>2878</v>
      </c>
      <c r="E55" s="1245" t="s">
        <v>40</v>
      </c>
      <c r="F55" s="2317" t="e">
        <f>+'VAL. PRINC'!#REF!</f>
        <v>#REF!</v>
      </c>
      <c r="G55" s="2288"/>
    </row>
    <row r="56" spans="2:7" s="1417" customFormat="1" hidden="1">
      <c r="B56" s="2141" t="s">
        <v>3630</v>
      </c>
      <c r="C56" s="1268" t="s">
        <v>2274</v>
      </c>
      <c r="D56" s="1241" t="s">
        <v>2879</v>
      </c>
      <c r="E56" s="1245" t="s">
        <v>40</v>
      </c>
      <c r="F56" s="2317" t="e">
        <f>+'VAL. PRINC'!#REF!</f>
        <v>#REF!</v>
      </c>
      <c r="G56" s="2288"/>
    </row>
    <row r="57" spans="2:7" s="1231" customFormat="1" hidden="1">
      <c r="B57" s="2142" t="s">
        <v>3630</v>
      </c>
      <c r="C57" s="1268" t="s">
        <v>2275</v>
      </c>
      <c r="D57" s="1241" t="s">
        <v>2880</v>
      </c>
      <c r="E57" s="1245" t="s">
        <v>37</v>
      </c>
      <c r="F57" s="2317" t="e">
        <f>+'VAL. PRINC'!#REF!</f>
        <v>#REF!</v>
      </c>
      <c r="G57" s="2296"/>
    </row>
    <row r="58" spans="2:7" s="1417" customFormat="1" hidden="1">
      <c r="B58" s="2141"/>
      <c r="C58" s="2268" t="s">
        <v>2276</v>
      </c>
      <c r="D58" s="1241" t="s">
        <v>2881</v>
      </c>
      <c r="E58" s="1245" t="s">
        <v>40</v>
      </c>
      <c r="F58" s="2317" t="e">
        <f>+'VAL. PRINC'!#REF!</f>
        <v>#REF!</v>
      </c>
      <c r="G58" s="2288"/>
    </row>
    <row r="59" spans="2:7" s="1417" customFormat="1" hidden="1">
      <c r="B59" s="2141" t="s">
        <v>3630</v>
      </c>
      <c r="C59" s="1268" t="s">
        <v>2277</v>
      </c>
      <c r="D59" s="1241" t="s">
        <v>2882</v>
      </c>
      <c r="E59" s="1245" t="s">
        <v>40</v>
      </c>
      <c r="F59" s="2317" t="e">
        <f>+'VAL. PRINC'!#REF!</f>
        <v>#REF!</v>
      </c>
      <c r="G59" s="2288"/>
    </row>
    <row r="60" spans="2:7" s="1417" customFormat="1" hidden="1">
      <c r="B60" s="2141"/>
      <c r="C60" s="1268" t="s">
        <v>2278</v>
      </c>
      <c r="D60" s="1241" t="s">
        <v>2883</v>
      </c>
      <c r="E60" s="1245" t="s">
        <v>37</v>
      </c>
      <c r="F60" s="2317" t="e">
        <f>+'VAL. PRINC'!#REF!</f>
        <v>#REF!</v>
      </c>
      <c r="G60" s="2288"/>
    </row>
    <row r="61" spans="2:7" s="1417" customFormat="1" hidden="1">
      <c r="B61" s="2141" t="s">
        <v>3630</v>
      </c>
      <c r="C61" s="1268" t="s">
        <v>2279</v>
      </c>
      <c r="D61" s="1241" t="s">
        <v>2884</v>
      </c>
      <c r="E61" s="1245" t="s">
        <v>40</v>
      </c>
      <c r="F61" s="2317" t="e">
        <f>+'VAL. PRINC'!#REF!</f>
        <v>#REF!</v>
      </c>
      <c r="G61" s="2288"/>
    </row>
    <row r="62" spans="2:7" s="1417" customFormat="1" hidden="1">
      <c r="B62" s="2141" t="s">
        <v>3630</v>
      </c>
      <c r="C62" s="1268" t="s">
        <v>2280</v>
      </c>
      <c r="D62" s="1241" t="s">
        <v>2885</v>
      </c>
      <c r="E62" s="1245" t="s">
        <v>37</v>
      </c>
      <c r="F62" s="2317" t="e">
        <f>+'VAL. PRINC'!#REF!</f>
        <v>#REF!</v>
      </c>
      <c r="G62" s="2288"/>
    </row>
    <row r="63" spans="2:7" s="1417" customFormat="1" hidden="1">
      <c r="B63" s="2141"/>
      <c r="C63" s="1268" t="s">
        <v>2281</v>
      </c>
      <c r="D63" s="1241" t="s">
        <v>2886</v>
      </c>
      <c r="E63" s="1245" t="s">
        <v>37</v>
      </c>
      <c r="F63" s="2317" t="e">
        <f>+'VAL. PRINC'!#REF!</f>
        <v>#REF!</v>
      </c>
      <c r="G63" s="2288"/>
    </row>
    <row r="64" spans="2:7" s="1417" customFormat="1" hidden="1">
      <c r="B64" s="2141" t="s">
        <v>3630</v>
      </c>
      <c r="C64" s="1268" t="s">
        <v>2282</v>
      </c>
      <c r="D64" s="1241" t="s">
        <v>2887</v>
      </c>
      <c r="E64" s="1245" t="s">
        <v>37</v>
      </c>
      <c r="F64" s="2317" t="e">
        <f>+'VAL. PRINC'!#REF!</f>
        <v>#REF!</v>
      </c>
      <c r="G64" s="2288"/>
    </row>
    <row r="65" spans="2:7" s="1417" customFormat="1" hidden="1">
      <c r="B65" s="2141"/>
      <c r="C65" s="1268" t="s">
        <v>2283</v>
      </c>
      <c r="D65" s="1241" t="s">
        <v>2888</v>
      </c>
      <c r="E65" s="1245" t="s">
        <v>37</v>
      </c>
      <c r="F65" s="2317" t="e">
        <f>+'VAL. PRINC'!#REF!</f>
        <v>#REF!</v>
      </c>
      <c r="G65" s="2288"/>
    </row>
    <row r="66" spans="2:7" s="1231" customFormat="1" hidden="1">
      <c r="B66" s="2142" t="s">
        <v>3630</v>
      </c>
      <c r="C66" s="1268" t="s">
        <v>2284</v>
      </c>
      <c r="D66" s="1241" t="s">
        <v>2889</v>
      </c>
      <c r="E66" s="1245" t="s">
        <v>37</v>
      </c>
      <c r="F66" s="2317" t="e">
        <f>+'VAL. PRINC'!#REF!</f>
        <v>#REF!</v>
      </c>
      <c r="G66" s="2288"/>
    </row>
    <row r="67" spans="2:7" s="1417" customFormat="1" hidden="1">
      <c r="B67" s="2141" t="s">
        <v>3630</v>
      </c>
      <c r="C67" s="1557">
        <v>1.06</v>
      </c>
      <c r="D67" s="1264" t="s">
        <v>2890</v>
      </c>
      <c r="E67" s="1265"/>
      <c r="F67" s="2317" t="e">
        <f>+'VAL. PRINC'!#REF!</f>
        <v>#REF!</v>
      </c>
      <c r="G67" s="2297"/>
    </row>
    <row r="68" spans="2:7" s="1231" customFormat="1" hidden="1">
      <c r="B68" s="2142"/>
      <c r="C68" s="1268" t="s">
        <v>2285</v>
      </c>
      <c r="D68" s="1241" t="s">
        <v>2891</v>
      </c>
      <c r="E68" s="1245" t="s">
        <v>40</v>
      </c>
      <c r="F68" s="2317" t="e">
        <f>+'VAL. PRINC'!#REF!</f>
        <v>#REF!</v>
      </c>
      <c r="G68" s="2288"/>
    </row>
    <row r="69" spans="2:7" s="1417" customFormat="1" hidden="1">
      <c r="B69" s="2141"/>
      <c r="C69" s="1263" t="s">
        <v>2286</v>
      </c>
      <c r="D69" s="1264" t="s">
        <v>2892</v>
      </c>
      <c r="E69" s="1265"/>
      <c r="F69" s="2317"/>
      <c r="G69" s="2297"/>
    </row>
    <row r="70" spans="2:7" s="1417" customFormat="1" ht="30.6" hidden="1">
      <c r="B70" s="2141"/>
      <c r="C70" s="1268" t="s">
        <v>2287</v>
      </c>
      <c r="D70" s="1558" t="s">
        <v>3608</v>
      </c>
      <c r="E70" s="1245" t="s">
        <v>41</v>
      </c>
      <c r="F70" s="2317" t="e">
        <f>+'VAL. PRINC'!#REF!</f>
        <v>#REF!</v>
      </c>
      <c r="G70" s="2288"/>
    </row>
    <row r="71" spans="2:7" s="1417" customFormat="1" hidden="1">
      <c r="B71" s="2141"/>
      <c r="C71" s="1268" t="s">
        <v>2288</v>
      </c>
      <c r="D71" s="1241" t="s">
        <v>2893</v>
      </c>
      <c r="E71" s="1245" t="s">
        <v>36</v>
      </c>
      <c r="F71" s="2317" t="e">
        <f>+'VAL. PRINC'!#REF!</f>
        <v>#REF!</v>
      </c>
      <c r="G71" s="2288"/>
    </row>
    <row r="72" spans="2:7" s="1231" customFormat="1" hidden="1">
      <c r="B72" s="2142"/>
      <c r="C72" s="1268" t="s">
        <v>2289</v>
      </c>
      <c r="D72" s="1241" t="s">
        <v>2894</v>
      </c>
      <c r="E72" s="1245" t="s">
        <v>41</v>
      </c>
      <c r="F72" s="2317" t="e">
        <f>+'VAL. PRINC'!#REF!</f>
        <v>#REF!</v>
      </c>
      <c r="G72" s="2288"/>
    </row>
    <row r="73" spans="2:7" s="1417" customFormat="1" hidden="1">
      <c r="B73" s="2141"/>
      <c r="C73" s="1268" t="s">
        <v>2290</v>
      </c>
      <c r="D73" s="1241" t="s">
        <v>2895</v>
      </c>
      <c r="E73" s="1245" t="s">
        <v>41</v>
      </c>
      <c r="F73" s="2317" t="e">
        <f>+'VAL. PRINC'!#REF!</f>
        <v>#REF!</v>
      </c>
      <c r="G73" s="2288"/>
    </row>
    <row r="74" spans="2:7" s="1417" customFormat="1" hidden="1">
      <c r="B74" s="2141"/>
      <c r="C74" s="1268" t="s">
        <v>2291</v>
      </c>
      <c r="D74" s="1241" t="s">
        <v>2896</v>
      </c>
      <c r="E74" s="1245" t="s">
        <v>41</v>
      </c>
      <c r="F74" s="2317" t="e">
        <f>+'VAL. PRINC'!#REF!</f>
        <v>#REF!</v>
      </c>
      <c r="G74" s="2288"/>
    </row>
    <row r="75" spans="2:7" s="1231" customFormat="1" hidden="1">
      <c r="B75" s="2142" t="s">
        <v>3630</v>
      </c>
      <c r="C75" s="1268" t="s">
        <v>2292</v>
      </c>
      <c r="D75" s="1241" t="s">
        <v>2897</v>
      </c>
      <c r="E75" s="1245" t="s">
        <v>41</v>
      </c>
      <c r="F75" s="2317" t="e">
        <f>+'VAL. PRINC'!#REF!</f>
        <v>#REF!</v>
      </c>
      <c r="G75" s="2288"/>
    </row>
    <row r="76" spans="2:7" s="1417" customFormat="1">
      <c r="B76" s="2141"/>
      <c r="C76" s="1269" t="s">
        <v>42</v>
      </c>
      <c r="D76" s="1270" t="s">
        <v>2898</v>
      </c>
      <c r="E76" s="1271"/>
      <c r="F76" s="2317"/>
      <c r="G76" s="2297"/>
    </row>
    <row r="77" spans="2:7" s="1231" customFormat="1">
      <c r="B77" s="2142" t="s">
        <v>3630</v>
      </c>
      <c r="C77" s="1263" t="s">
        <v>43</v>
      </c>
      <c r="D77" s="1264" t="s">
        <v>2899</v>
      </c>
      <c r="E77" s="1265"/>
      <c r="F77" s="2317"/>
      <c r="G77" s="2297"/>
    </row>
    <row r="78" spans="2:7" s="1231" customFormat="1" hidden="1">
      <c r="B78" s="2142" t="s">
        <v>3630</v>
      </c>
      <c r="C78" s="1559" t="s">
        <v>53</v>
      </c>
      <c r="D78" s="1560" t="s">
        <v>2900</v>
      </c>
      <c r="E78" s="1561" t="s">
        <v>40</v>
      </c>
      <c r="F78" s="2317" t="e">
        <f>+'VAL. PRINC'!#REF!</f>
        <v>#REF!</v>
      </c>
      <c r="G78" s="2298"/>
    </row>
    <row r="79" spans="2:7" s="1417" customFormat="1" hidden="1">
      <c r="B79" s="2141" t="s">
        <v>3630</v>
      </c>
      <c r="C79" s="1559" t="s">
        <v>564</v>
      </c>
      <c r="D79" s="1560" t="s">
        <v>2901</v>
      </c>
      <c r="E79" s="1561" t="s">
        <v>37</v>
      </c>
      <c r="F79" s="2317" t="e">
        <f>+'VAL. PRINC'!#REF!</f>
        <v>#REF!</v>
      </c>
      <c r="G79" s="2298"/>
    </row>
    <row r="80" spans="2:7" s="1429" customFormat="1">
      <c r="B80" s="2270" t="s">
        <v>3630</v>
      </c>
      <c r="C80" s="2274" t="s">
        <v>571</v>
      </c>
      <c r="D80" s="2275" t="s">
        <v>2902</v>
      </c>
      <c r="E80" s="2276" t="s">
        <v>40</v>
      </c>
      <c r="F80" s="2317" t="e">
        <f>+'VAL. PRINC'!#REF!</f>
        <v>#REF!</v>
      </c>
      <c r="G80" s="2297"/>
    </row>
    <row r="81" spans="2:7" s="1417" customFormat="1" hidden="1">
      <c r="B81" s="2141" t="s">
        <v>3630</v>
      </c>
      <c r="C81" s="1268" t="s">
        <v>600</v>
      </c>
      <c r="D81" s="1241" t="s">
        <v>2903</v>
      </c>
      <c r="E81" s="1245" t="s">
        <v>40</v>
      </c>
      <c r="F81" s="2317" t="e">
        <f>+'VAL. PRINC'!#REF!</f>
        <v>#REF!</v>
      </c>
      <c r="G81" s="2298"/>
    </row>
    <row r="82" spans="2:7" s="1417" customFormat="1" hidden="1">
      <c r="B82" s="2141" t="s">
        <v>3630</v>
      </c>
      <c r="C82" s="1268" t="s">
        <v>602</v>
      </c>
      <c r="D82" s="1241" t="s">
        <v>2904</v>
      </c>
      <c r="E82" s="1245" t="s">
        <v>40</v>
      </c>
      <c r="F82" s="2317" t="e">
        <f>+'VAL. PRINC'!#REF!</f>
        <v>#REF!</v>
      </c>
      <c r="G82" s="2288"/>
    </row>
    <row r="83" spans="2:7" s="1417" customFormat="1" hidden="1">
      <c r="B83" s="2141" t="s">
        <v>3630</v>
      </c>
      <c r="C83" s="1268" t="s">
        <v>2293</v>
      </c>
      <c r="D83" s="1241" t="s">
        <v>2905</v>
      </c>
      <c r="E83" s="1245" t="s">
        <v>40</v>
      </c>
      <c r="F83" s="2317" t="e">
        <f>+'VAL. PRINC'!#REF!</f>
        <v>#REF!</v>
      </c>
      <c r="G83" s="2288"/>
    </row>
    <row r="84" spans="2:7" s="1417" customFormat="1">
      <c r="B84" s="2141" t="s">
        <v>3630</v>
      </c>
      <c r="C84" s="1263" t="s">
        <v>44</v>
      </c>
      <c r="D84" s="1264" t="s">
        <v>2906</v>
      </c>
      <c r="E84" s="1265"/>
      <c r="F84" s="2317"/>
      <c r="G84" s="2297"/>
    </row>
    <row r="85" spans="2:7" s="1417" customFormat="1">
      <c r="B85" s="2141"/>
      <c r="C85" s="1272" t="s">
        <v>54</v>
      </c>
      <c r="D85" s="1262" t="s">
        <v>2907</v>
      </c>
      <c r="E85" s="1273"/>
      <c r="F85" s="2317"/>
      <c r="G85" s="2288"/>
    </row>
    <row r="86" spans="2:7" s="1417" customFormat="1">
      <c r="B86" s="2141"/>
      <c r="C86" s="2169" t="s">
        <v>605</v>
      </c>
      <c r="D86" s="2170" t="s">
        <v>2908</v>
      </c>
      <c r="E86" s="2269" t="s">
        <v>37</v>
      </c>
      <c r="F86" s="2317" t="e">
        <f>+'VAL. PRINC'!#REF!</f>
        <v>#REF!</v>
      </c>
      <c r="G86" s="2298"/>
    </row>
    <row r="87" spans="2:7" s="1417" customFormat="1" hidden="1">
      <c r="B87" s="2141"/>
      <c r="C87" s="1272" t="s">
        <v>55</v>
      </c>
      <c r="D87" s="1262" t="s">
        <v>2909</v>
      </c>
      <c r="E87" s="1273"/>
      <c r="F87" s="2317"/>
      <c r="G87" s="2298"/>
    </row>
    <row r="88" spans="2:7" s="1417" customFormat="1" hidden="1">
      <c r="B88" s="2141"/>
      <c r="C88" s="1268" t="s">
        <v>611</v>
      </c>
      <c r="D88" s="1241" t="s">
        <v>2910</v>
      </c>
      <c r="E88" s="1245" t="s">
        <v>40</v>
      </c>
      <c r="F88" s="2317" t="e">
        <f>+'VAL. PRINC'!#REF!</f>
        <v>#REF!</v>
      </c>
      <c r="G88" s="2298"/>
    </row>
    <row r="89" spans="2:7" s="1417" customFormat="1" hidden="1">
      <c r="B89" s="2141"/>
      <c r="C89" s="1272" t="s">
        <v>616</v>
      </c>
      <c r="D89" s="1262" t="s">
        <v>2911</v>
      </c>
      <c r="E89" s="1273"/>
      <c r="F89" s="2317"/>
      <c r="G89" s="2298"/>
    </row>
    <row r="90" spans="2:7" s="1417" customFormat="1" hidden="1">
      <c r="B90" s="2141"/>
      <c r="C90" s="1268" t="s">
        <v>617</v>
      </c>
      <c r="D90" s="1241" t="s">
        <v>2912</v>
      </c>
      <c r="E90" s="1245" t="s">
        <v>40</v>
      </c>
      <c r="F90" s="2317" t="e">
        <f>+'VAL. PRINC'!#REF!</f>
        <v>#REF!</v>
      </c>
      <c r="G90" s="2298"/>
    </row>
    <row r="91" spans="2:7" s="1417" customFormat="1" hidden="1">
      <c r="B91" s="2141"/>
      <c r="C91" s="1268" t="s">
        <v>620</v>
      </c>
      <c r="D91" s="1241" t="s">
        <v>2913</v>
      </c>
      <c r="E91" s="1245" t="s">
        <v>37</v>
      </c>
      <c r="F91" s="2317" t="e">
        <f>+'VAL. PRINC'!#REF!</f>
        <v>#REF!</v>
      </c>
      <c r="G91" s="2298"/>
    </row>
    <row r="92" spans="2:7" s="1417" customFormat="1" hidden="1">
      <c r="B92" s="2141"/>
      <c r="C92" s="1272" t="s">
        <v>645</v>
      </c>
      <c r="D92" s="1262" t="s">
        <v>2914</v>
      </c>
      <c r="E92" s="1273"/>
      <c r="F92" s="2317"/>
      <c r="G92" s="2298"/>
    </row>
    <row r="93" spans="2:7" s="1417" customFormat="1" hidden="1">
      <c r="B93" s="2141"/>
      <c r="C93" s="1268" t="s">
        <v>646</v>
      </c>
      <c r="D93" s="1241" t="s">
        <v>2915</v>
      </c>
      <c r="E93" s="1245" t="s">
        <v>40</v>
      </c>
      <c r="F93" s="2317" t="e">
        <f>+'VAL. PRINC'!#REF!</f>
        <v>#REF!</v>
      </c>
      <c r="G93" s="2298"/>
    </row>
    <row r="94" spans="2:7" s="1417" customFormat="1" hidden="1">
      <c r="B94" s="2141"/>
      <c r="C94" s="2169" t="s">
        <v>2294</v>
      </c>
      <c r="D94" s="2170" t="s">
        <v>2916</v>
      </c>
      <c r="E94" s="2269" t="s">
        <v>37</v>
      </c>
      <c r="F94" s="2317" t="e">
        <f>+'VAL. PRINC'!#REF!</f>
        <v>#REF!</v>
      </c>
      <c r="G94" s="2298"/>
    </row>
    <row r="95" spans="2:7" s="1417" customFormat="1" hidden="1">
      <c r="B95" s="2141"/>
      <c r="C95" s="2271" t="s">
        <v>647</v>
      </c>
      <c r="D95" s="2272" t="s">
        <v>2917</v>
      </c>
      <c r="E95" s="2273"/>
      <c r="F95" s="2317"/>
      <c r="G95" s="2298"/>
    </row>
    <row r="96" spans="2:7" s="1417" customFormat="1" hidden="1">
      <c r="B96" s="2141"/>
      <c r="C96" s="2169" t="s">
        <v>648</v>
      </c>
      <c r="D96" s="2170" t="s">
        <v>2918</v>
      </c>
      <c r="E96" s="2269" t="s">
        <v>40</v>
      </c>
      <c r="F96" s="2317" t="e">
        <f>+'VAL. PRINC'!#REF!</f>
        <v>#REF!</v>
      </c>
      <c r="G96" s="2298"/>
    </row>
    <row r="97" spans="2:7" s="1417" customFormat="1" hidden="1">
      <c r="B97" s="2141"/>
      <c r="C97" s="2169" t="s">
        <v>649</v>
      </c>
      <c r="D97" s="2170" t="s">
        <v>2919</v>
      </c>
      <c r="E97" s="2269" t="s">
        <v>37</v>
      </c>
      <c r="F97" s="2317" t="e">
        <f>+'VAL. PRINC'!#REF!</f>
        <v>#REF!</v>
      </c>
      <c r="G97" s="2298"/>
    </row>
    <row r="98" spans="2:7" s="1417" customFormat="1" hidden="1">
      <c r="B98" s="2141"/>
      <c r="C98" s="1268" t="s">
        <v>2295</v>
      </c>
      <c r="D98" s="1241" t="s">
        <v>2920</v>
      </c>
      <c r="E98" s="1245" t="s">
        <v>38</v>
      </c>
      <c r="F98" s="2317" t="e">
        <f>+'VAL. PRINC'!#REF!</f>
        <v>#REF!</v>
      </c>
      <c r="G98" s="2298"/>
    </row>
    <row r="99" spans="2:7" s="1417" customFormat="1" hidden="1">
      <c r="B99" s="2141"/>
      <c r="C99" s="1268" t="s">
        <v>2296</v>
      </c>
      <c r="D99" s="1241" t="s">
        <v>2921</v>
      </c>
      <c r="E99" s="1245" t="s">
        <v>40</v>
      </c>
      <c r="F99" s="2317" t="e">
        <f>+'VAL. PRINC'!#REF!</f>
        <v>#REF!</v>
      </c>
      <c r="G99" s="2298"/>
    </row>
    <row r="100" spans="2:7" s="1417" customFormat="1" hidden="1">
      <c r="B100" s="2141"/>
      <c r="C100" s="1272" t="s">
        <v>275</v>
      </c>
      <c r="D100" s="1262" t="s">
        <v>2922</v>
      </c>
      <c r="E100" s="1273"/>
      <c r="F100" s="2317"/>
      <c r="G100" s="2298"/>
    </row>
    <row r="101" spans="2:7" s="1417" customFormat="1" hidden="1">
      <c r="B101" s="2141"/>
      <c r="C101" s="1268" t="s">
        <v>2297</v>
      </c>
      <c r="D101" s="1241" t="s">
        <v>2923</v>
      </c>
      <c r="E101" s="1245" t="s">
        <v>40</v>
      </c>
      <c r="F101" s="2317" t="e">
        <f>+'VAL. PRINC'!#REF!</f>
        <v>#REF!</v>
      </c>
      <c r="G101" s="2298"/>
    </row>
    <row r="102" spans="2:7" s="1417" customFormat="1" hidden="1">
      <c r="B102" s="2141"/>
      <c r="C102" s="1268" t="s">
        <v>2298</v>
      </c>
      <c r="D102" s="1241" t="s">
        <v>2924</v>
      </c>
      <c r="E102" s="1245" t="s">
        <v>37</v>
      </c>
      <c r="F102" s="2317" t="e">
        <f>+'VAL. PRINC'!#REF!</f>
        <v>#REF!</v>
      </c>
      <c r="G102" s="2288"/>
    </row>
    <row r="103" spans="2:7" s="1417" customFormat="1" hidden="1">
      <c r="B103" s="2141"/>
      <c r="C103" s="1272" t="s">
        <v>322</v>
      </c>
      <c r="D103" s="1262" t="s">
        <v>2925</v>
      </c>
      <c r="E103" s="1273"/>
      <c r="F103" s="2317"/>
      <c r="G103" s="2288"/>
    </row>
    <row r="104" spans="2:7" s="1417" customFormat="1" hidden="1">
      <c r="B104" s="2141"/>
      <c r="C104" s="1268" t="s">
        <v>2299</v>
      </c>
      <c r="D104" s="1241" t="s">
        <v>2926</v>
      </c>
      <c r="E104" s="1245" t="s">
        <v>40</v>
      </c>
      <c r="F104" s="2317" t="e">
        <f>+'VAL. PRINC'!#REF!</f>
        <v>#REF!</v>
      </c>
      <c r="G104" s="2288"/>
    </row>
    <row r="105" spans="2:7" s="1417" customFormat="1" hidden="1">
      <c r="B105" s="2141"/>
      <c r="C105" s="1268" t="s">
        <v>2300</v>
      </c>
      <c r="D105" s="1241" t="s">
        <v>2927</v>
      </c>
      <c r="E105" s="1245" t="s">
        <v>37</v>
      </c>
      <c r="F105" s="2317" t="e">
        <f>+'VAL. PRINC'!#REF!</f>
        <v>#REF!</v>
      </c>
      <c r="G105" s="2288"/>
    </row>
    <row r="106" spans="2:7" s="1417" customFormat="1" hidden="1">
      <c r="B106" s="2141"/>
      <c r="C106" s="1272"/>
      <c r="D106" s="1262" t="s">
        <v>3715</v>
      </c>
      <c r="E106" s="1273"/>
      <c r="F106" s="2317"/>
      <c r="G106" s="2288"/>
    </row>
    <row r="107" spans="2:7" s="1417" customFormat="1" hidden="1">
      <c r="B107" s="2141"/>
      <c r="C107" s="1268" t="s">
        <v>2301</v>
      </c>
      <c r="D107" s="1241" t="s">
        <v>2928</v>
      </c>
      <c r="E107" s="1245" t="s">
        <v>40</v>
      </c>
      <c r="F107" s="2317" t="e">
        <f>+'VAL. PRINC'!#REF!</f>
        <v>#REF!</v>
      </c>
      <c r="G107" s="2288"/>
    </row>
    <row r="108" spans="2:7" s="1417" customFormat="1" hidden="1">
      <c r="B108" s="2141"/>
      <c r="C108" s="1268" t="s">
        <v>2302</v>
      </c>
      <c r="D108" s="1241" t="s">
        <v>2929</v>
      </c>
      <c r="E108" s="1245" t="s">
        <v>37</v>
      </c>
      <c r="F108" s="2317" t="e">
        <f>+'VAL. PRINC'!#REF!</f>
        <v>#REF!</v>
      </c>
      <c r="G108" s="2288"/>
    </row>
    <row r="109" spans="2:7" s="1417" customFormat="1" hidden="1">
      <c r="B109" s="2141"/>
      <c r="C109" s="1272" t="s">
        <v>2303</v>
      </c>
      <c r="D109" s="1262" t="s">
        <v>2930</v>
      </c>
      <c r="E109" s="1273"/>
      <c r="F109" s="2317"/>
      <c r="G109" s="2288"/>
    </row>
    <row r="110" spans="2:7" s="1417" customFormat="1" hidden="1">
      <c r="B110" s="2141"/>
      <c r="C110" s="1268" t="s">
        <v>2304</v>
      </c>
      <c r="D110" s="1241" t="s">
        <v>2931</v>
      </c>
      <c r="E110" s="1245" t="s">
        <v>40</v>
      </c>
      <c r="F110" s="2317" t="e">
        <f>+'VAL. PRINC'!#REF!</f>
        <v>#REF!</v>
      </c>
      <c r="G110" s="2288"/>
    </row>
    <row r="111" spans="2:7" s="1417" customFormat="1" hidden="1">
      <c r="B111" s="2141"/>
      <c r="C111" s="1268" t="s">
        <v>2305</v>
      </c>
      <c r="D111" s="1241" t="s">
        <v>2932</v>
      </c>
      <c r="E111" s="1245" t="s">
        <v>37</v>
      </c>
      <c r="F111" s="2317" t="e">
        <f>+'VAL. PRINC'!#REF!</f>
        <v>#REF!</v>
      </c>
      <c r="G111" s="2288"/>
    </row>
    <row r="112" spans="2:7" s="1231" customFormat="1">
      <c r="B112" s="2142"/>
      <c r="C112" s="1272" t="s">
        <v>2306</v>
      </c>
      <c r="D112" s="1262" t="s">
        <v>2933</v>
      </c>
      <c r="E112" s="1273"/>
      <c r="F112" s="2317"/>
      <c r="G112" s="2288"/>
    </row>
    <row r="113" spans="2:7" s="1417" customFormat="1">
      <c r="B113" s="2141"/>
      <c r="C113" s="2169" t="s">
        <v>2307</v>
      </c>
      <c r="D113" s="2170" t="s">
        <v>2934</v>
      </c>
      <c r="E113" s="2269" t="s">
        <v>37</v>
      </c>
      <c r="F113" s="2317" t="e">
        <f>+'VAL. PRINC'!#REF!</f>
        <v>#REF!</v>
      </c>
      <c r="G113" s="2288"/>
    </row>
    <row r="114" spans="2:7" s="1417" customFormat="1" hidden="1">
      <c r="B114" s="2141"/>
      <c r="C114" s="1263" t="s">
        <v>52</v>
      </c>
      <c r="D114" s="1264" t="s">
        <v>2935</v>
      </c>
      <c r="E114" s="1265"/>
      <c r="F114" s="2317"/>
      <c r="G114" s="2297"/>
    </row>
    <row r="115" spans="2:7" s="1417" customFormat="1" hidden="1">
      <c r="B115" s="2141"/>
      <c r="C115" s="1272" t="s">
        <v>56</v>
      </c>
      <c r="D115" s="1262" t="s">
        <v>2936</v>
      </c>
      <c r="E115" s="1273"/>
      <c r="F115" s="2317"/>
      <c r="G115" s="2288"/>
    </row>
    <row r="116" spans="2:7" s="1417" customFormat="1" hidden="1">
      <c r="B116" s="2141"/>
      <c r="C116" s="1268" t="s">
        <v>650</v>
      </c>
      <c r="D116" s="1241" t="s">
        <v>2937</v>
      </c>
      <c r="E116" s="1245" t="s">
        <v>40</v>
      </c>
      <c r="F116" s="2317" t="e">
        <f>+'VAL. PRINC'!#REF!</f>
        <v>#REF!</v>
      </c>
      <c r="G116" s="2298"/>
    </row>
    <row r="117" spans="2:7" s="1231" customFormat="1" hidden="1">
      <c r="B117" s="2142" t="s">
        <v>3630</v>
      </c>
      <c r="C117" s="1268" t="s">
        <v>651</v>
      </c>
      <c r="D117" s="1241" t="s">
        <v>2938</v>
      </c>
      <c r="E117" s="1245" t="s">
        <v>48</v>
      </c>
      <c r="F117" s="2317" t="e">
        <f>+'VAL. PRINC'!#REF!</f>
        <v>#REF!</v>
      </c>
      <c r="G117" s="2298"/>
    </row>
    <row r="118" spans="2:7" s="1417" customFormat="1" hidden="1">
      <c r="B118" s="2141"/>
      <c r="C118" s="1272" t="s">
        <v>57</v>
      </c>
      <c r="D118" s="1262" t="s">
        <v>2939</v>
      </c>
      <c r="E118" s="1273"/>
      <c r="F118" s="2317"/>
      <c r="G118" s="2298"/>
    </row>
    <row r="119" spans="2:7" s="1417" customFormat="1" hidden="1">
      <c r="B119" s="2141"/>
      <c r="C119" s="1268" t="s">
        <v>656</v>
      </c>
      <c r="D119" s="1241" t="s">
        <v>2940</v>
      </c>
      <c r="E119" s="1245" t="s">
        <v>40</v>
      </c>
      <c r="F119" s="2317" t="e">
        <f>+'VAL. PRINC'!#REF!</f>
        <v>#REF!</v>
      </c>
      <c r="G119" s="2298"/>
    </row>
    <row r="120" spans="2:7" s="1417" customFormat="1" hidden="1">
      <c r="B120" s="2141"/>
      <c r="C120" s="1268" t="s">
        <v>657</v>
      </c>
      <c r="D120" s="1241" t="s">
        <v>2941</v>
      </c>
      <c r="E120" s="1245" t="s">
        <v>37</v>
      </c>
      <c r="F120" s="2317" t="e">
        <f>+'VAL. PRINC'!#REF!</f>
        <v>#REF!</v>
      </c>
      <c r="G120" s="2298"/>
    </row>
    <row r="121" spans="2:7" s="1417" customFormat="1" hidden="1">
      <c r="B121" s="2141"/>
      <c r="C121" s="1268" t="s">
        <v>658</v>
      </c>
      <c r="D121" s="1241" t="s">
        <v>2942</v>
      </c>
      <c r="E121" s="1245" t="s">
        <v>48</v>
      </c>
      <c r="F121" s="2317" t="e">
        <f>+'VAL. PRINC'!#REF!</f>
        <v>#REF!</v>
      </c>
      <c r="G121" s="2298"/>
    </row>
    <row r="122" spans="2:7" s="1417" customFormat="1" hidden="1">
      <c r="B122" s="2141"/>
      <c r="C122" s="1272" t="s">
        <v>661</v>
      </c>
      <c r="D122" s="1262" t="s">
        <v>2943</v>
      </c>
      <c r="E122" s="1273"/>
      <c r="F122" s="2317"/>
      <c r="G122" s="2298"/>
    </row>
    <row r="123" spans="2:7" s="1231" customFormat="1" hidden="1">
      <c r="B123" s="2142"/>
      <c r="C123" s="1268" t="s">
        <v>662</v>
      </c>
      <c r="D123" s="1241" t="s">
        <v>2944</v>
      </c>
      <c r="E123" s="1245" t="s">
        <v>40</v>
      </c>
      <c r="F123" s="2317" t="e">
        <f>+'VAL. PRINC'!#REF!</f>
        <v>#REF!</v>
      </c>
      <c r="G123" s="2298"/>
    </row>
    <row r="124" spans="2:7" s="1417" customFormat="1" hidden="1">
      <c r="B124" s="2141"/>
      <c r="C124" s="1268" t="s">
        <v>665</v>
      </c>
      <c r="D124" s="1241" t="s">
        <v>2945</v>
      </c>
      <c r="E124" s="1245" t="s">
        <v>37</v>
      </c>
      <c r="F124" s="2317" t="e">
        <f>+'VAL. PRINC'!#REF!</f>
        <v>#REF!</v>
      </c>
      <c r="G124" s="2298"/>
    </row>
    <row r="125" spans="2:7" s="1417" customFormat="1" hidden="1">
      <c r="B125" s="2141"/>
      <c r="C125" s="1268" t="s">
        <v>669</v>
      </c>
      <c r="D125" s="1241" t="s">
        <v>2946</v>
      </c>
      <c r="E125" s="1245" t="s">
        <v>48</v>
      </c>
      <c r="F125" s="2317" t="e">
        <f>+'VAL. PRINC'!#REF!</f>
        <v>#REF!</v>
      </c>
      <c r="G125" s="2298"/>
    </row>
    <row r="126" spans="2:7" s="1417" customFormat="1" hidden="1">
      <c r="B126" s="2141"/>
      <c r="C126" s="1272" t="s">
        <v>690</v>
      </c>
      <c r="D126" s="1262" t="s">
        <v>2947</v>
      </c>
      <c r="E126" s="1273"/>
      <c r="F126" s="2317"/>
      <c r="G126" s="2298"/>
    </row>
    <row r="127" spans="2:7" s="1231" customFormat="1" hidden="1">
      <c r="B127" s="2142" t="s">
        <v>3630</v>
      </c>
      <c r="C127" s="1268" t="s">
        <v>691</v>
      </c>
      <c r="D127" s="1241" t="s">
        <v>2948</v>
      </c>
      <c r="E127" s="1245" t="s">
        <v>40</v>
      </c>
      <c r="F127" s="2317" t="e">
        <f>+'VAL. PRINC'!#REF!</f>
        <v>#REF!</v>
      </c>
      <c r="G127" s="2288"/>
    </row>
    <row r="128" spans="2:7" s="1417" customFormat="1" hidden="1">
      <c r="B128" s="2141"/>
      <c r="C128" s="1268" t="s">
        <v>2308</v>
      </c>
      <c r="D128" s="1241" t="s">
        <v>2949</v>
      </c>
      <c r="E128" s="1245" t="s">
        <v>37</v>
      </c>
      <c r="F128" s="2317" t="e">
        <f>+'VAL. PRINC'!#REF!</f>
        <v>#REF!</v>
      </c>
      <c r="G128" s="2288"/>
    </row>
    <row r="129" spans="2:7" s="1417" customFormat="1" hidden="1">
      <c r="B129" s="2141"/>
      <c r="C129" s="1268" t="s">
        <v>2309</v>
      </c>
      <c r="D129" s="1241" t="s">
        <v>2950</v>
      </c>
      <c r="E129" s="1245" t="s">
        <v>48</v>
      </c>
      <c r="F129" s="2317" t="e">
        <f>+'VAL. PRINC'!#REF!</f>
        <v>#REF!</v>
      </c>
      <c r="G129" s="2288"/>
    </row>
    <row r="130" spans="2:7" s="1417" customFormat="1" hidden="1">
      <c r="B130" s="2141" t="s">
        <v>3630</v>
      </c>
      <c r="C130" s="1268" t="s">
        <v>2310</v>
      </c>
      <c r="D130" s="1241" t="s">
        <v>2920</v>
      </c>
      <c r="E130" s="1245" t="s">
        <v>38</v>
      </c>
      <c r="F130" s="2317" t="e">
        <f>+'VAL. PRINC'!#REF!</f>
        <v>#REF!</v>
      </c>
      <c r="G130" s="2288"/>
    </row>
    <row r="131" spans="2:7" s="1417" customFormat="1" hidden="1">
      <c r="B131" s="2141" t="s">
        <v>3630</v>
      </c>
      <c r="C131" s="1268" t="s">
        <v>2311</v>
      </c>
      <c r="D131" s="1241" t="s">
        <v>2951</v>
      </c>
      <c r="E131" s="1245" t="s">
        <v>38</v>
      </c>
      <c r="F131" s="2317" t="e">
        <f>+'VAL. PRINC'!#REF!</f>
        <v>#REF!</v>
      </c>
      <c r="G131" s="2288"/>
    </row>
    <row r="132" spans="2:7" s="1231" customFormat="1" hidden="1">
      <c r="B132" s="2142" t="s">
        <v>3630</v>
      </c>
      <c r="C132" s="1268" t="s">
        <v>2312</v>
      </c>
      <c r="D132" s="1241" t="s">
        <v>2921</v>
      </c>
      <c r="E132" s="1245" t="s">
        <v>40</v>
      </c>
      <c r="F132" s="2317" t="e">
        <f>+'VAL. PRINC'!#REF!</f>
        <v>#REF!</v>
      </c>
      <c r="G132" s="2288"/>
    </row>
    <row r="133" spans="2:7" s="1417" customFormat="1" hidden="1">
      <c r="B133" s="2141"/>
      <c r="C133" s="1272" t="s">
        <v>692</v>
      </c>
      <c r="D133" s="1262" t="s">
        <v>2952</v>
      </c>
      <c r="E133" s="1273"/>
      <c r="F133" s="2317"/>
      <c r="G133" s="2288"/>
    </row>
    <row r="134" spans="2:7" s="1417" customFormat="1" hidden="1">
      <c r="B134" s="2141"/>
      <c r="C134" s="1268" t="s">
        <v>693</v>
      </c>
      <c r="D134" s="1241" t="s">
        <v>2953</v>
      </c>
      <c r="E134" s="1245" t="s">
        <v>40</v>
      </c>
      <c r="F134" s="2317" t="e">
        <f>+'VAL. PRINC'!#REF!</f>
        <v>#REF!</v>
      </c>
      <c r="G134" s="2298"/>
    </row>
    <row r="135" spans="2:7" s="1417" customFormat="1" hidden="1">
      <c r="B135" s="2141"/>
      <c r="C135" s="1268" t="s">
        <v>694</v>
      </c>
      <c r="D135" s="1241" t="s">
        <v>2954</v>
      </c>
      <c r="E135" s="1245" t="s">
        <v>37</v>
      </c>
      <c r="F135" s="2317" t="e">
        <f>+'VAL. PRINC'!#REF!</f>
        <v>#REF!</v>
      </c>
      <c r="G135" s="2288"/>
    </row>
    <row r="136" spans="2:7" s="1231" customFormat="1" hidden="1">
      <c r="B136" s="2142" t="s">
        <v>3630</v>
      </c>
      <c r="C136" s="1268" t="s">
        <v>2313</v>
      </c>
      <c r="D136" s="1241" t="s">
        <v>2955</v>
      </c>
      <c r="E136" s="1245" t="s">
        <v>48</v>
      </c>
      <c r="F136" s="2317" t="e">
        <f>+'VAL. PRINC'!#REF!</f>
        <v>#REF!</v>
      </c>
      <c r="G136" s="2288"/>
    </row>
    <row r="137" spans="2:7" s="1231" customFormat="1" hidden="1">
      <c r="B137" s="2142"/>
      <c r="C137" s="1272" t="s">
        <v>2314</v>
      </c>
      <c r="D137" s="1262" t="s">
        <v>2956</v>
      </c>
      <c r="E137" s="1273"/>
      <c r="F137" s="2317"/>
      <c r="G137" s="2288"/>
    </row>
    <row r="138" spans="2:7" s="1417" customFormat="1" hidden="1">
      <c r="B138" s="2141"/>
      <c r="C138" s="1268" t="s">
        <v>2315</v>
      </c>
      <c r="D138" s="1241" t="s">
        <v>2957</v>
      </c>
      <c r="E138" s="1245" t="s">
        <v>40</v>
      </c>
      <c r="F138" s="2317" t="e">
        <f>+'VAL. PRINC'!#REF!</f>
        <v>#REF!</v>
      </c>
      <c r="G138" s="2288"/>
    </row>
    <row r="139" spans="2:7" s="1231" customFormat="1" hidden="1">
      <c r="B139" s="2142"/>
      <c r="C139" s="1268" t="s">
        <v>2316</v>
      </c>
      <c r="D139" s="1241" t="s">
        <v>2958</v>
      </c>
      <c r="E139" s="1245" t="s">
        <v>37</v>
      </c>
      <c r="F139" s="2317" t="e">
        <f>+'VAL. PRINC'!#REF!</f>
        <v>#REF!</v>
      </c>
      <c r="G139" s="2288"/>
    </row>
    <row r="140" spans="2:7" s="1417" customFormat="1" hidden="1">
      <c r="B140" s="2141"/>
      <c r="C140" s="1268" t="s">
        <v>2317</v>
      </c>
      <c r="D140" s="1241" t="s">
        <v>2959</v>
      </c>
      <c r="E140" s="1245" t="s">
        <v>48</v>
      </c>
      <c r="F140" s="2317" t="e">
        <f>+'VAL. PRINC'!#REF!</f>
        <v>#REF!</v>
      </c>
      <c r="G140" s="2288"/>
    </row>
    <row r="141" spans="2:7" s="1417" customFormat="1" hidden="1">
      <c r="B141" s="2141"/>
      <c r="C141" s="1272" t="s">
        <v>2318</v>
      </c>
      <c r="D141" s="1262" t="s">
        <v>2960</v>
      </c>
      <c r="E141" s="1273"/>
      <c r="F141" s="2317"/>
      <c r="G141" s="2288"/>
    </row>
    <row r="142" spans="2:7" s="1417" customFormat="1" hidden="1">
      <c r="B142" s="2141"/>
      <c r="C142" s="1268" t="s">
        <v>2319</v>
      </c>
      <c r="D142" s="1241" t="s">
        <v>2961</v>
      </c>
      <c r="E142" s="1245" t="s">
        <v>40</v>
      </c>
      <c r="F142" s="2317" t="e">
        <f>+'VAL. PRINC'!#REF!</f>
        <v>#REF!</v>
      </c>
      <c r="G142" s="2288"/>
    </row>
    <row r="143" spans="2:7" s="1417" customFormat="1" hidden="1">
      <c r="B143" s="2141"/>
      <c r="C143" s="1268" t="s">
        <v>2320</v>
      </c>
      <c r="D143" s="1241" t="s">
        <v>2962</v>
      </c>
      <c r="E143" s="1245" t="s">
        <v>37</v>
      </c>
      <c r="F143" s="2317" t="e">
        <f>+'VAL. PRINC'!#REF!</f>
        <v>#REF!</v>
      </c>
      <c r="G143" s="2288"/>
    </row>
    <row r="144" spans="2:7" s="1417" customFormat="1" hidden="1">
      <c r="B144" s="2141"/>
      <c r="C144" s="1268" t="s">
        <v>2321</v>
      </c>
      <c r="D144" s="1241" t="s">
        <v>2963</v>
      </c>
      <c r="E144" s="1245" t="s">
        <v>48</v>
      </c>
      <c r="F144" s="2317" t="e">
        <f>+'VAL. PRINC'!#REF!</f>
        <v>#REF!</v>
      </c>
      <c r="G144" s="2296"/>
    </row>
    <row r="145" spans="2:7" s="1231" customFormat="1" hidden="1">
      <c r="B145" s="2142" t="s">
        <v>3630</v>
      </c>
      <c r="C145" s="1272" t="s">
        <v>2322</v>
      </c>
      <c r="D145" s="1262" t="s">
        <v>2964</v>
      </c>
      <c r="E145" s="1273"/>
      <c r="F145" s="2317"/>
      <c r="G145" s="2296"/>
    </row>
    <row r="146" spans="2:7" s="1417" customFormat="1" hidden="1">
      <c r="B146" s="2141"/>
      <c r="C146" s="1268" t="s">
        <v>2323</v>
      </c>
      <c r="D146" s="1241" t="s">
        <v>2965</v>
      </c>
      <c r="E146" s="1245" t="s">
        <v>40</v>
      </c>
      <c r="F146" s="2317" t="e">
        <f>+'VAL. PRINC'!#REF!</f>
        <v>#REF!</v>
      </c>
      <c r="G146" s="2296"/>
    </row>
    <row r="147" spans="2:7" s="1417" customFormat="1" hidden="1">
      <c r="B147" s="2141"/>
      <c r="C147" s="1268" t="s">
        <v>2324</v>
      </c>
      <c r="D147" s="1241" t="s">
        <v>2966</v>
      </c>
      <c r="E147" s="1245" t="s">
        <v>37</v>
      </c>
      <c r="F147" s="2317" t="e">
        <f>+'VAL. PRINC'!#REF!</f>
        <v>#REF!</v>
      </c>
      <c r="G147" s="2296"/>
    </row>
    <row r="148" spans="2:7" s="1417" customFormat="1" hidden="1">
      <c r="B148" s="2141"/>
      <c r="C148" s="1268" t="s">
        <v>2325</v>
      </c>
      <c r="D148" s="1241" t="s">
        <v>2967</v>
      </c>
      <c r="E148" s="1245" t="s">
        <v>48</v>
      </c>
      <c r="F148" s="2317" t="e">
        <f>+'VAL. PRINC'!#REF!</f>
        <v>#REF!</v>
      </c>
      <c r="G148" s="2296"/>
    </row>
    <row r="149" spans="2:7" s="1417" customFormat="1" hidden="1">
      <c r="B149" s="2141"/>
      <c r="C149" s="1272" t="s">
        <v>2326</v>
      </c>
      <c r="D149" s="1262" t="s">
        <v>2968</v>
      </c>
      <c r="E149" s="1273"/>
      <c r="F149" s="2317"/>
      <c r="G149" s="2296"/>
    </row>
    <row r="150" spans="2:7" s="1429" customFormat="1" hidden="1">
      <c r="B150" s="2270"/>
      <c r="C150" s="2169" t="s">
        <v>2327</v>
      </c>
      <c r="D150" s="2170" t="s">
        <v>2969</v>
      </c>
      <c r="E150" s="2269" t="s">
        <v>40</v>
      </c>
      <c r="F150" s="2317" t="e">
        <f>+'VAL. PRINC'!#REF!</f>
        <v>#REF!</v>
      </c>
      <c r="G150" s="2296"/>
    </row>
    <row r="151" spans="2:7" s="1429" customFormat="1" hidden="1">
      <c r="B151" s="2270"/>
      <c r="C151" s="2169" t="s">
        <v>2328</v>
      </c>
      <c r="D151" s="2170" t="s">
        <v>2970</v>
      </c>
      <c r="E151" s="2269" t="s">
        <v>37</v>
      </c>
      <c r="F151" s="2317" t="e">
        <f>+'VAL. PRINC'!#REF!</f>
        <v>#REF!</v>
      </c>
      <c r="G151" s="2296"/>
    </row>
    <row r="152" spans="2:7" s="1429" customFormat="1" hidden="1">
      <c r="B152" s="2270"/>
      <c r="C152" s="2169" t="s">
        <v>2329</v>
      </c>
      <c r="D152" s="2170" t="s">
        <v>2971</v>
      </c>
      <c r="E152" s="2269" t="s">
        <v>48</v>
      </c>
      <c r="F152" s="2317" t="e">
        <f>+'VAL. PRINC'!#REF!</f>
        <v>#REF!</v>
      </c>
      <c r="G152" s="2296"/>
    </row>
    <row r="153" spans="2:7" s="1429" customFormat="1" hidden="1">
      <c r="B153" s="2270"/>
      <c r="C153" s="2169" t="s">
        <v>2330</v>
      </c>
      <c r="D153" s="2170" t="s">
        <v>2972</v>
      </c>
      <c r="E153" s="2269" t="s">
        <v>36</v>
      </c>
      <c r="F153" s="2317" t="e">
        <f>+'VAL. PRINC'!#REF!</f>
        <v>#REF!</v>
      </c>
      <c r="G153" s="2296"/>
    </row>
    <row r="154" spans="2:7" s="1417" customFormat="1" hidden="1">
      <c r="B154" s="2141"/>
      <c r="C154" s="1272" t="s">
        <v>2331</v>
      </c>
      <c r="D154" s="1262" t="s">
        <v>2973</v>
      </c>
      <c r="E154" s="1273"/>
      <c r="F154" s="2317"/>
      <c r="G154" s="2296"/>
    </row>
    <row r="155" spans="2:7" s="1417" customFormat="1" hidden="1">
      <c r="B155" s="2141"/>
      <c r="C155" s="1268" t="s">
        <v>2332</v>
      </c>
      <c r="D155" s="1241" t="s">
        <v>2969</v>
      </c>
      <c r="E155" s="1245" t="s">
        <v>40</v>
      </c>
      <c r="F155" s="2317" t="e">
        <f>+'VAL. PRINC'!#REF!</f>
        <v>#REF!</v>
      </c>
      <c r="G155" s="2296"/>
    </row>
    <row r="156" spans="2:7" s="1231" customFormat="1" hidden="1">
      <c r="B156" s="2142"/>
      <c r="C156" s="1268" t="s">
        <v>2333</v>
      </c>
      <c r="D156" s="1241" t="s">
        <v>2970</v>
      </c>
      <c r="E156" s="1245" t="s">
        <v>37</v>
      </c>
      <c r="F156" s="2317" t="e">
        <f>+'VAL. PRINC'!#REF!</f>
        <v>#REF!</v>
      </c>
      <c r="G156" s="2296"/>
    </row>
    <row r="157" spans="2:7" s="1417" customFormat="1" hidden="1">
      <c r="B157" s="2141"/>
      <c r="C157" s="1268" t="s">
        <v>2334</v>
      </c>
      <c r="D157" s="1241" t="s">
        <v>2971</v>
      </c>
      <c r="E157" s="1245" t="s">
        <v>48</v>
      </c>
      <c r="F157" s="2317" t="e">
        <f>+'VAL. PRINC'!#REF!</f>
        <v>#REF!</v>
      </c>
      <c r="G157" s="2296"/>
    </row>
    <row r="158" spans="2:7" s="1417" customFormat="1" hidden="1">
      <c r="B158" s="2141"/>
      <c r="C158" s="1268" t="s">
        <v>2335</v>
      </c>
      <c r="D158" s="1241" t="s">
        <v>2974</v>
      </c>
      <c r="E158" s="1245" t="s">
        <v>36</v>
      </c>
      <c r="F158" s="2317" t="e">
        <f>+'VAL. PRINC'!#REF!</f>
        <v>#REF!</v>
      </c>
      <c r="G158" s="2296"/>
    </row>
    <row r="159" spans="2:7" s="1417" customFormat="1" hidden="1">
      <c r="B159" s="2141"/>
      <c r="C159" s="1272" t="s">
        <v>2336</v>
      </c>
      <c r="D159" s="1262" t="s">
        <v>2975</v>
      </c>
      <c r="E159" s="1273"/>
      <c r="F159" s="2317"/>
      <c r="G159" s="2296"/>
    </row>
    <row r="160" spans="2:7" s="1417" customFormat="1" hidden="1">
      <c r="B160" s="2141"/>
      <c r="C160" s="1268" t="s">
        <v>2337</v>
      </c>
      <c r="D160" s="1241" t="s">
        <v>2969</v>
      </c>
      <c r="E160" s="1245" t="s">
        <v>40</v>
      </c>
      <c r="F160" s="2317" t="e">
        <f>+'VAL. PRINC'!#REF!</f>
        <v>#REF!</v>
      </c>
      <c r="G160" s="2296"/>
    </row>
    <row r="161" spans="2:7" s="1417" customFormat="1" hidden="1">
      <c r="B161" s="2141"/>
      <c r="C161" s="1268" t="s">
        <v>2338</v>
      </c>
      <c r="D161" s="1241" t="s">
        <v>2970</v>
      </c>
      <c r="E161" s="1245" t="s">
        <v>37</v>
      </c>
      <c r="F161" s="2317" t="e">
        <f>+'VAL. PRINC'!#REF!</f>
        <v>#REF!</v>
      </c>
      <c r="G161" s="2296"/>
    </row>
    <row r="162" spans="2:7" s="1417" customFormat="1" hidden="1">
      <c r="B162" s="2141"/>
      <c r="C162" s="1268" t="s">
        <v>2339</v>
      </c>
      <c r="D162" s="1241" t="s">
        <v>2971</v>
      </c>
      <c r="E162" s="1245" t="s">
        <v>48</v>
      </c>
      <c r="F162" s="2317" t="e">
        <f>+'VAL. PRINC'!#REF!</f>
        <v>#REF!</v>
      </c>
      <c r="G162" s="2296"/>
    </row>
    <row r="163" spans="2:7" s="1417" customFormat="1" hidden="1">
      <c r="B163" s="2141"/>
      <c r="C163" s="1268" t="s">
        <v>2340</v>
      </c>
      <c r="D163" s="1241" t="s">
        <v>2976</v>
      </c>
      <c r="E163" s="1245" t="s">
        <v>36</v>
      </c>
      <c r="F163" s="2317" t="e">
        <f>+'VAL. PRINC'!#REF!</f>
        <v>#REF!</v>
      </c>
      <c r="G163" s="2296"/>
    </row>
    <row r="164" spans="2:7" s="1417" customFormat="1" hidden="1">
      <c r="B164" s="2141"/>
      <c r="C164" s="1272" t="s">
        <v>2341</v>
      </c>
      <c r="D164" s="1262" t="s">
        <v>2977</v>
      </c>
      <c r="E164" s="1273"/>
      <c r="F164" s="2317"/>
      <c r="G164" s="2296"/>
    </row>
    <row r="165" spans="2:7" s="1417" customFormat="1" hidden="1">
      <c r="B165" s="2141"/>
      <c r="C165" s="1268" t="s">
        <v>2342</v>
      </c>
      <c r="D165" s="1241" t="s">
        <v>2978</v>
      </c>
      <c r="E165" s="1245" t="s">
        <v>40</v>
      </c>
      <c r="F165" s="2317" t="e">
        <f>+'VAL. PRINC'!#REF!</f>
        <v>#REF!</v>
      </c>
      <c r="G165" s="2296"/>
    </row>
    <row r="166" spans="2:7" s="1417" customFormat="1" hidden="1">
      <c r="B166" s="2141"/>
      <c r="C166" s="1268" t="s">
        <v>2343</v>
      </c>
      <c r="D166" s="1241" t="s">
        <v>2979</v>
      </c>
      <c r="E166" s="1245" t="s">
        <v>37</v>
      </c>
      <c r="F166" s="2317" t="e">
        <f>+'VAL. PRINC'!#REF!</f>
        <v>#REF!</v>
      </c>
      <c r="G166" s="2296"/>
    </row>
    <row r="167" spans="2:7" s="1417" customFormat="1" hidden="1">
      <c r="B167" s="2141"/>
      <c r="C167" s="1268" t="s">
        <v>2344</v>
      </c>
      <c r="D167" s="1241" t="s">
        <v>2980</v>
      </c>
      <c r="E167" s="1245" t="s">
        <v>48</v>
      </c>
      <c r="F167" s="2317" t="e">
        <f>+'VAL. PRINC'!#REF!</f>
        <v>#REF!</v>
      </c>
      <c r="G167" s="2296"/>
    </row>
    <row r="168" spans="2:7" s="1231" customFormat="1" hidden="1">
      <c r="B168" s="2142"/>
      <c r="C168" s="1268" t="s">
        <v>2345</v>
      </c>
      <c r="D168" s="1241" t="s">
        <v>2981</v>
      </c>
      <c r="E168" s="1245" t="s">
        <v>36</v>
      </c>
      <c r="F168" s="2317" t="e">
        <f>+'VAL. PRINC'!#REF!</f>
        <v>#REF!</v>
      </c>
      <c r="G168" s="2296"/>
    </row>
    <row r="169" spans="2:7" s="1417" customFormat="1" hidden="1">
      <c r="B169" s="2141"/>
      <c r="C169" s="1272" t="s">
        <v>2346</v>
      </c>
      <c r="D169" s="1262" t="s">
        <v>2982</v>
      </c>
      <c r="E169" s="1273"/>
      <c r="F169" s="2317"/>
      <c r="G169" s="2296"/>
    </row>
    <row r="170" spans="2:7" s="1417" customFormat="1" hidden="1">
      <c r="B170" s="2141"/>
      <c r="C170" s="1268" t="s">
        <v>2347</v>
      </c>
      <c r="D170" s="1241" t="s">
        <v>2978</v>
      </c>
      <c r="E170" s="1245" t="s">
        <v>40</v>
      </c>
      <c r="F170" s="2317" t="e">
        <f>+'VAL. PRINC'!#REF!</f>
        <v>#REF!</v>
      </c>
      <c r="G170" s="2296"/>
    </row>
    <row r="171" spans="2:7" s="1417" customFormat="1" hidden="1">
      <c r="B171" s="2141"/>
      <c r="C171" s="1268" t="s">
        <v>2348</v>
      </c>
      <c r="D171" s="1241" t="s">
        <v>2979</v>
      </c>
      <c r="E171" s="1245" t="s">
        <v>37</v>
      </c>
      <c r="F171" s="2317" t="e">
        <f>+'VAL. PRINC'!#REF!</f>
        <v>#REF!</v>
      </c>
      <c r="G171" s="2296"/>
    </row>
    <row r="172" spans="2:7" s="1417" customFormat="1" hidden="1">
      <c r="B172" s="2141"/>
      <c r="C172" s="1268" t="s">
        <v>2349</v>
      </c>
      <c r="D172" s="1241" t="s">
        <v>2980</v>
      </c>
      <c r="E172" s="1245" t="s">
        <v>48</v>
      </c>
      <c r="F172" s="2317" t="e">
        <f>+'VAL. PRINC'!#REF!</f>
        <v>#REF!</v>
      </c>
      <c r="G172" s="2296"/>
    </row>
    <row r="173" spans="2:7" s="1231" customFormat="1" hidden="1">
      <c r="B173" s="2142" t="s">
        <v>3630</v>
      </c>
      <c r="C173" s="1268" t="s">
        <v>2350</v>
      </c>
      <c r="D173" s="1241" t="s">
        <v>2983</v>
      </c>
      <c r="E173" s="1245" t="s">
        <v>36</v>
      </c>
      <c r="F173" s="2317" t="e">
        <f>+'VAL. PRINC'!#REF!</f>
        <v>#REF!</v>
      </c>
      <c r="G173" s="2296"/>
    </row>
    <row r="174" spans="2:7" s="1417" customFormat="1" hidden="1">
      <c r="B174" s="2141" t="s">
        <v>3630</v>
      </c>
      <c r="C174" s="1272" t="s">
        <v>2351</v>
      </c>
      <c r="D174" s="1262" t="s">
        <v>2984</v>
      </c>
      <c r="E174" s="1273"/>
      <c r="F174" s="2317"/>
      <c r="G174" s="2296"/>
    </row>
    <row r="175" spans="2:7" s="1417" customFormat="1" hidden="1">
      <c r="B175" s="2141" t="s">
        <v>3630</v>
      </c>
      <c r="C175" s="1268" t="s">
        <v>2352</v>
      </c>
      <c r="D175" s="1241" t="s">
        <v>2978</v>
      </c>
      <c r="E175" s="1245" t="s">
        <v>40</v>
      </c>
      <c r="F175" s="2317" t="e">
        <f>+'VAL. PRINC'!#REF!</f>
        <v>#REF!</v>
      </c>
      <c r="G175" s="2296"/>
    </row>
    <row r="176" spans="2:7" hidden="1">
      <c r="C176" s="1268" t="s">
        <v>2353</v>
      </c>
      <c r="D176" s="1241" t="s">
        <v>2979</v>
      </c>
      <c r="E176" s="1245" t="s">
        <v>37</v>
      </c>
      <c r="F176" s="2317" t="e">
        <f>+'VAL. PRINC'!#REF!</f>
        <v>#REF!</v>
      </c>
      <c r="G176" s="2296"/>
    </row>
    <row r="177" spans="3:7" hidden="1">
      <c r="C177" s="1268" t="s">
        <v>2354</v>
      </c>
      <c r="D177" s="1241" t="s">
        <v>2980</v>
      </c>
      <c r="E177" s="1245" t="s">
        <v>48</v>
      </c>
      <c r="F177" s="2317" t="e">
        <f>+'VAL. PRINC'!#REF!</f>
        <v>#REF!</v>
      </c>
      <c r="G177" s="2296"/>
    </row>
    <row r="178" spans="3:7" hidden="1">
      <c r="C178" s="1268" t="s">
        <v>2355</v>
      </c>
      <c r="D178" s="1241" t="s">
        <v>2981</v>
      </c>
      <c r="E178" s="1245" t="s">
        <v>36</v>
      </c>
      <c r="F178" s="2317" t="e">
        <f>+'VAL. PRINC'!#REF!</f>
        <v>#REF!</v>
      </c>
      <c r="G178" s="2296"/>
    </row>
    <row r="179" spans="3:7" hidden="1">
      <c r="C179" s="1272" t="s">
        <v>2356</v>
      </c>
      <c r="D179" s="1262" t="s">
        <v>2985</v>
      </c>
      <c r="E179" s="1273"/>
      <c r="F179" s="2317"/>
      <c r="G179" s="2296"/>
    </row>
    <row r="180" spans="3:7" hidden="1">
      <c r="C180" s="1268" t="s">
        <v>2357</v>
      </c>
      <c r="D180" s="1241" t="s">
        <v>2986</v>
      </c>
      <c r="E180" s="1245" t="s">
        <v>40</v>
      </c>
      <c r="F180" s="2317" t="e">
        <f>+'VAL. PRINC'!#REF!</f>
        <v>#REF!</v>
      </c>
      <c r="G180" s="2296"/>
    </row>
    <row r="181" spans="3:7" hidden="1">
      <c r="C181" s="1268" t="s">
        <v>2358</v>
      </c>
      <c r="D181" s="1241" t="s">
        <v>2987</v>
      </c>
      <c r="E181" s="1245" t="s">
        <v>37</v>
      </c>
      <c r="F181" s="2317" t="e">
        <f>+'VAL. PRINC'!#REF!</f>
        <v>#REF!</v>
      </c>
      <c r="G181" s="2296"/>
    </row>
    <row r="182" spans="3:7" hidden="1">
      <c r="C182" s="1268" t="s">
        <v>2359</v>
      </c>
      <c r="D182" s="1241" t="s">
        <v>2988</v>
      </c>
      <c r="E182" s="1245" t="s">
        <v>48</v>
      </c>
      <c r="F182" s="2317" t="e">
        <f>+'VAL. PRINC'!#REF!</f>
        <v>#REF!</v>
      </c>
      <c r="G182" s="2296"/>
    </row>
    <row r="183" spans="3:7" hidden="1">
      <c r="C183" s="1272" t="s">
        <v>2360</v>
      </c>
      <c r="D183" s="1262" t="s">
        <v>2989</v>
      </c>
      <c r="E183" s="1273"/>
      <c r="F183" s="2317"/>
      <c r="G183" s="2296"/>
    </row>
    <row r="184" spans="3:7" hidden="1">
      <c r="C184" s="1268" t="s">
        <v>2361</v>
      </c>
      <c r="D184" s="1241" t="s">
        <v>2990</v>
      </c>
      <c r="E184" s="1245" t="s">
        <v>40</v>
      </c>
      <c r="F184" s="2317" t="e">
        <f>+'VAL. PRINC'!#REF!</f>
        <v>#REF!</v>
      </c>
      <c r="G184" s="2296"/>
    </row>
    <row r="185" spans="3:7" hidden="1">
      <c r="C185" s="1268" t="s">
        <v>2362</v>
      </c>
      <c r="D185" s="1241" t="s">
        <v>2991</v>
      </c>
      <c r="E185" s="1245" t="s">
        <v>37</v>
      </c>
      <c r="F185" s="2317" t="e">
        <f>+'VAL. PRINC'!#REF!</f>
        <v>#REF!</v>
      </c>
      <c r="G185" s="2296"/>
    </row>
    <row r="186" spans="3:7" hidden="1">
      <c r="C186" s="1268" t="s">
        <v>2363</v>
      </c>
      <c r="D186" s="1241" t="s">
        <v>2992</v>
      </c>
      <c r="E186" s="1245" t="s">
        <v>48</v>
      </c>
      <c r="F186" s="2317" t="e">
        <f>+'VAL. PRINC'!#REF!</f>
        <v>#REF!</v>
      </c>
      <c r="G186" s="2296"/>
    </row>
    <row r="187" spans="3:7" hidden="1">
      <c r="C187" s="1272" t="s">
        <v>2364</v>
      </c>
      <c r="D187" s="1262" t="s">
        <v>2993</v>
      </c>
      <c r="E187" s="1273"/>
      <c r="F187" s="2317"/>
      <c r="G187" s="2296"/>
    </row>
    <row r="188" spans="3:7" hidden="1">
      <c r="C188" s="1268" t="s">
        <v>2365</v>
      </c>
      <c r="D188" s="1241" t="s">
        <v>2994</v>
      </c>
      <c r="E188" s="1245" t="s">
        <v>40</v>
      </c>
      <c r="F188" s="2317" t="e">
        <f>+'VAL. PRINC'!#REF!</f>
        <v>#REF!</v>
      </c>
      <c r="G188" s="2296"/>
    </row>
    <row r="189" spans="3:7" hidden="1">
      <c r="C189" s="1268" t="s">
        <v>2366</v>
      </c>
      <c r="D189" s="1241" t="s">
        <v>2995</v>
      </c>
      <c r="E189" s="1245" t="s">
        <v>37</v>
      </c>
      <c r="F189" s="2317" t="e">
        <f>+'VAL. PRINC'!#REF!</f>
        <v>#REF!</v>
      </c>
      <c r="G189" s="2296"/>
    </row>
    <row r="190" spans="3:7" hidden="1">
      <c r="C190" s="1268" t="s">
        <v>2367</v>
      </c>
      <c r="D190" s="1241" t="s">
        <v>2996</v>
      </c>
      <c r="E190" s="1245" t="s">
        <v>48</v>
      </c>
      <c r="F190" s="2317" t="e">
        <f>+'VAL. PRINC'!#REF!</f>
        <v>#REF!</v>
      </c>
      <c r="G190" s="2296"/>
    </row>
    <row r="191" spans="3:7" hidden="1">
      <c r="C191" s="1272" t="s">
        <v>2368</v>
      </c>
      <c r="D191" s="1262" t="s">
        <v>2997</v>
      </c>
      <c r="E191" s="1273"/>
      <c r="F191" s="2317"/>
      <c r="G191" s="2296"/>
    </row>
    <row r="192" spans="3:7" hidden="1">
      <c r="C192" s="1268" t="s">
        <v>2369</v>
      </c>
      <c r="D192" s="1241" t="s">
        <v>3680</v>
      </c>
      <c r="E192" s="1245" t="s">
        <v>40</v>
      </c>
      <c r="F192" s="2317" t="e">
        <f>+'VAL. PRINC'!#REF!</f>
        <v>#REF!</v>
      </c>
      <c r="G192" s="2296"/>
    </row>
    <row r="193" spans="3:7" hidden="1">
      <c r="C193" s="1268" t="s">
        <v>2370</v>
      </c>
      <c r="D193" s="1241" t="s">
        <v>2998</v>
      </c>
      <c r="E193" s="1245" t="s">
        <v>37</v>
      </c>
      <c r="F193" s="2317" t="e">
        <f>+'VAL. PRINC'!#REF!</f>
        <v>#REF!</v>
      </c>
      <c r="G193" s="2296"/>
    </row>
    <row r="194" spans="3:7" hidden="1">
      <c r="C194" s="1268" t="s">
        <v>2371</v>
      </c>
      <c r="D194" s="1241" t="s">
        <v>2999</v>
      </c>
      <c r="E194" s="1245" t="s">
        <v>48</v>
      </c>
      <c r="F194" s="2317" t="e">
        <f>+'VAL. PRINC'!#REF!</f>
        <v>#REF!</v>
      </c>
      <c r="G194" s="2296"/>
    </row>
    <row r="195" spans="3:7" hidden="1">
      <c r="C195" s="1272" t="s">
        <v>2372</v>
      </c>
      <c r="D195" s="1262" t="s">
        <v>3000</v>
      </c>
      <c r="E195" s="1273"/>
      <c r="F195" s="2317"/>
      <c r="G195" s="2296"/>
    </row>
    <row r="196" spans="3:7" hidden="1">
      <c r="C196" s="1268" t="s">
        <v>2373</v>
      </c>
      <c r="D196" s="1241" t="s">
        <v>3001</v>
      </c>
      <c r="E196" s="1245" t="s">
        <v>40</v>
      </c>
      <c r="F196" s="2317" t="e">
        <f>+'VAL. PRINC'!#REF!</f>
        <v>#REF!</v>
      </c>
      <c r="G196" s="2296"/>
    </row>
    <row r="197" spans="3:7" hidden="1">
      <c r="C197" s="1268" t="s">
        <v>2374</v>
      </c>
      <c r="D197" s="1241" t="s">
        <v>3002</v>
      </c>
      <c r="E197" s="1245" t="s">
        <v>37</v>
      </c>
      <c r="F197" s="2317" t="e">
        <f>+'VAL. PRINC'!#REF!</f>
        <v>#REF!</v>
      </c>
      <c r="G197" s="2296"/>
    </row>
    <row r="198" spans="3:7" hidden="1">
      <c r="C198" s="1268" t="s">
        <v>2375</v>
      </c>
      <c r="D198" s="1241" t="s">
        <v>3003</v>
      </c>
      <c r="E198" s="1245" t="s">
        <v>48</v>
      </c>
      <c r="F198" s="2317" t="e">
        <f>+'VAL. PRINC'!#REF!</f>
        <v>#REF!</v>
      </c>
      <c r="G198" s="2296"/>
    </row>
    <row r="199" spans="3:7" hidden="1">
      <c r="C199" s="1272" t="s">
        <v>2376</v>
      </c>
      <c r="D199" s="1262" t="s">
        <v>2930</v>
      </c>
      <c r="E199" s="1273"/>
      <c r="F199" s="2317"/>
      <c r="G199" s="2296"/>
    </row>
    <row r="200" spans="3:7" hidden="1">
      <c r="C200" s="1268" t="s">
        <v>2377</v>
      </c>
      <c r="D200" s="1241" t="s">
        <v>3004</v>
      </c>
      <c r="E200" s="1245" t="s">
        <v>40</v>
      </c>
      <c r="F200" s="2317" t="e">
        <f>+'VAL. PRINC'!#REF!</f>
        <v>#REF!</v>
      </c>
      <c r="G200" s="2296"/>
    </row>
    <row r="201" spans="3:7" hidden="1">
      <c r="C201" s="1268" t="s">
        <v>2378</v>
      </c>
      <c r="D201" s="1241" t="s">
        <v>2932</v>
      </c>
      <c r="E201" s="1245" t="s">
        <v>37</v>
      </c>
      <c r="F201" s="2317" t="e">
        <f>+'VAL. PRINC'!#REF!</f>
        <v>#REF!</v>
      </c>
      <c r="G201" s="2296"/>
    </row>
    <row r="202" spans="3:7" hidden="1">
      <c r="C202" s="1268" t="s">
        <v>2379</v>
      </c>
      <c r="D202" s="1241" t="s">
        <v>3005</v>
      </c>
      <c r="E202" s="1245" t="s">
        <v>48</v>
      </c>
      <c r="F202" s="2317" t="e">
        <f>+'VAL. PRINC'!#REF!</f>
        <v>#REF!</v>
      </c>
      <c r="G202" s="2296"/>
    </row>
    <row r="203" spans="3:7" hidden="1">
      <c r="C203" s="1272" t="s">
        <v>2380</v>
      </c>
      <c r="D203" s="1262" t="s">
        <v>3006</v>
      </c>
      <c r="E203" s="1273"/>
      <c r="F203" s="2317"/>
      <c r="G203" s="2296"/>
    </row>
    <row r="204" spans="3:7" hidden="1">
      <c r="C204" s="1562" t="s">
        <v>2381</v>
      </c>
      <c r="D204" s="1563" t="s">
        <v>3007</v>
      </c>
      <c r="E204" s="1564"/>
      <c r="F204" s="2317"/>
      <c r="G204" s="2296"/>
    </row>
    <row r="205" spans="3:7" hidden="1">
      <c r="C205" s="1268" t="s">
        <v>2382</v>
      </c>
      <c r="D205" s="1241" t="s">
        <v>3008</v>
      </c>
      <c r="E205" s="1245" t="s">
        <v>40</v>
      </c>
      <c r="F205" s="2317" t="e">
        <f>+'VAL. PRINC'!#REF!</f>
        <v>#REF!</v>
      </c>
      <c r="G205" s="2296"/>
    </row>
    <row r="206" spans="3:7" hidden="1">
      <c r="C206" s="1268" t="s">
        <v>2383</v>
      </c>
      <c r="D206" s="1241" t="s">
        <v>3009</v>
      </c>
      <c r="E206" s="1245" t="s">
        <v>37</v>
      </c>
      <c r="F206" s="2317" t="e">
        <f>+'VAL. PRINC'!#REF!</f>
        <v>#REF!</v>
      </c>
      <c r="G206" s="2296"/>
    </row>
    <row r="207" spans="3:7" hidden="1">
      <c r="C207" s="1268" t="s">
        <v>2384</v>
      </c>
      <c r="D207" s="1241" t="s">
        <v>3010</v>
      </c>
      <c r="E207" s="1245" t="s">
        <v>48</v>
      </c>
      <c r="F207" s="2317" t="e">
        <f>+'VAL. PRINC'!#REF!</f>
        <v>#REF!</v>
      </c>
      <c r="G207" s="2296"/>
    </row>
    <row r="208" spans="3:7" hidden="1">
      <c r="C208" s="1268" t="s">
        <v>2385</v>
      </c>
      <c r="D208" s="1241" t="s">
        <v>3011</v>
      </c>
      <c r="E208" s="1245" t="s">
        <v>38</v>
      </c>
      <c r="F208" s="2317" t="e">
        <f>+'VAL. PRINC'!#REF!</f>
        <v>#REF!</v>
      </c>
      <c r="G208" s="2296"/>
    </row>
    <row r="209" spans="3:7" hidden="1">
      <c r="C209" s="1562" t="s">
        <v>2386</v>
      </c>
      <c r="D209" s="1563" t="s">
        <v>3012</v>
      </c>
      <c r="E209" s="1564"/>
      <c r="F209" s="2317"/>
      <c r="G209" s="2296"/>
    </row>
    <row r="210" spans="3:7" hidden="1">
      <c r="C210" s="1268" t="s">
        <v>2387</v>
      </c>
      <c r="D210" s="1241" t="s">
        <v>3013</v>
      </c>
      <c r="E210" s="1245" t="s">
        <v>40</v>
      </c>
      <c r="F210" s="2317" t="e">
        <f>+'VAL. PRINC'!#REF!</f>
        <v>#REF!</v>
      </c>
      <c r="G210" s="2296"/>
    </row>
    <row r="211" spans="3:7" hidden="1">
      <c r="C211" s="1268" t="s">
        <v>2388</v>
      </c>
      <c r="D211" s="1241" t="s">
        <v>3014</v>
      </c>
      <c r="E211" s="1245" t="s">
        <v>37</v>
      </c>
      <c r="F211" s="2317" t="e">
        <f>+'VAL. PRINC'!#REF!</f>
        <v>#REF!</v>
      </c>
      <c r="G211" s="2296"/>
    </row>
    <row r="212" spans="3:7" hidden="1">
      <c r="C212" s="1268" t="s">
        <v>2389</v>
      </c>
      <c r="D212" s="1241" t="s">
        <v>3015</v>
      </c>
      <c r="E212" s="1245" t="s">
        <v>48</v>
      </c>
      <c r="F212" s="2317" t="e">
        <f>+'VAL. PRINC'!#REF!</f>
        <v>#REF!</v>
      </c>
      <c r="G212" s="2296"/>
    </row>
    <row r="213" spans="3:7" hidden="1">
      <c r="C213" s="1272" t="s">
        <v>2390</v>
      </c>
      <c r="D213" s="1262" t="s">
        <v>3016</v>
      </c>
      <c r="E213" s="1273"/>
      <c r="F213" s="2317"/>
      <c r="G213" s="2296"/>
    </row>
    <row r="214" spans="3:7" hidden="1">
      <c r="C214" s="1562" t="s">
        <v>2391</v>
      </c>
      <c r="D214" s="1563" t="s">
        <v>3017</v>
      </c>
      <c r="E214" s="1564"/>
      <c r="F214" s="2317"/>
      <c r="G214" s="2296"/>
    </row>
    <row r="215" spans="3:7" hidden="1">
      <c r="C215" s="1268" t="s">
        <v>2392</v>
      </c>
      <c r="D215" s="1241" t="s">
        <v>3018</v>
      </c>
      <c r="E215" s="1245" t="s">
        <v>40</v>
      </c>
      <c r="F215" s="2317" t="e">
        <f>+'VAL. PRINC'!#REF!</f>
        <v>#REF!</v>
      </c>
      <c r="G215" s="2296"/>
    </row>
    <row r="216" spans="3:7" hidden="1">
      <c r="C216" s="1268" t="s">
        <v>2393</v>
      </c>
      <c r="D216" s="1241" t="s">
        <v>3019</v>
      </c>
      <c r="E216" s="1245" t="s">
        <v>37</v>
      </c>
      <c r="F216" s="2317" t="e">
        <f>+'VAL. PRINC'!#REF!</f>
        <v>#REF!</v>
      </c>
      <c r="G216" s="2296"/>
    </row>
    <row r="217" spans="3:7" hidden="1">
      <c r="C217" s="1268" t="s">
        <v>2394</v>
      </c>
      <c r="D217" s="1241" t="s">
        <v>3020</v>
      </c>
      <c r="E217" s="1245" t="s">
        <v>48</v>
      </c>
      <c r="F217" s="2317" t="e">
        <f>+'VAL. PRINC'!#REF!</f>
        <v>#REF!</v>
      </c>
      <c r="G217" s="2296"/>
    </row>
    <row r="218" spans="3:7" hidden="1">
      <c r="C218" s="1268" t="s">
        <v>2395</v>
      </c>
      <c r="D218" s="1241" t="s">
        <v>3021</v>
      </c>
      <c r="E218" s="1245" t="s">
        <v>38</v>
      </c>
      <c r="F218" s="2317" t="e">
        <f>+'VAL. PRINC'!#REF!</f>
        <v>#REF!</v>
      </c>
      <c r="G218" s="2296"/>
    </row>
    <row r="219" spans="3:7" hidden="1">
      <c r="C219" s="1562" t="s">
        <v>2396</v>
      </c>
      <c r="D219" s="1563" t="s">
        <v>3022</v>
      </c>
      <c r="E219" s="1564"/>
      <c r="F219" s="2317"/>
      <c r="G219" s="2296"/>
    </row>
    <row r="220" spans="3:7" hidden="1">
      <c r="C220" s="1268" t="s">
        <v>2397</v>
      </c>
      <c r="D220" s="1241" t="s">
        <v>3013</v>
      </c>
      <c r="E220" s="1245" t="s">
        <v>40</v>
      </c>
      <c r="F220" s="2317" t="e">
        <f>+'VAL. PRINC'!#REF!</f>
        <v>#REF!</v>
      </c>
      <c r="G220" s="2296"/>
    </row>
    <row r="221" spans="3:7" hidden="1">
      <c r="C221" s="1268" t="s">
        <v>2398</v>
      </c>
      <c r="D221" s="1241" t="s">
        <v>3014</v>
      </c>
      <c r="E221" s="1245" t="s">
        <v>37</v>
      </c>
      <c r="F221" s="2317" t="e">
        <f>+'VAL. PRINC'!#REF!</f>
        <v>#REF!</v>
      </c>
      <c r="G221" s="2296"/>
    </row>
    <row r="222" spans="3:7" hidden="1">
      <c r="C222" s="1268" t="s">
        <v>2399</v>
      </c>
      <c r="D222" s="1241" t="s">
        <v>3015</v>
      </c>
      <c r="E222" s="1245" t="s">
        <v>48</v>
      </c>
      <c r="F222" s="2317" t="e">
        <f>+'VAL. PRINC'!#REF!</f>
        <v>#REF!</v>
      </c>
      <c r="G222" s="2296"/>
    </row>
    <row r="223" spans="3:7" hidden="1">
      <c r="C223" s="1565" t="s">
        <v>2400</v>
      </c>
      <c r="D223" s="1566" t="s">
        <v>3023</v>
      </c>
      <c r="E223" s="1567"/>
      <c r="F223" s="2317"/>
      <c r="G223" s="2296"/>
    </row>
    <row r="224" spans="3:7" hidden="1">
      <c r="C224" s="1268" t="s">
        <v>2401</v>
      </c>
      <c r="D224" s="1241" t="s">
        <v>3024</v>
      </c>
      <c r="E224" s="1245" t="s">
        <v>2828</v>
      </c>
      <c r="F224" s="2317" t="e">
        <f>+'VAL. PRINC'!#REF!</f>
        <v>#REF!</v>
      </c>
      <c r="G224" s="2296"/>
    </row>
    <row r="225" spans="3:7" hidden="1">
      <c r="C225" s="1263" t="s">
        <v>516</v>
      </c>
      <c r="D225" s="1264" t="s">
        <v>3025</v>
      </c>
      <c r="E225" s="1265"/>
      <c r="F225" s="2317"/>
      <c r="G225" s="2296"/>
    </row>
    <row r="226" spans="3:7" hidden="1">
      <c r="C226" s="1272" t="s">
        <v>517</v>
      </c>
      <c r="D226" s="1262" t="s">
        <v>3026</v>
      </c>
      <c r="E226" s="1273"/>
      <c r="F226" s="2317"/>
      <c r="G226" s="2296"/>
    </row>
    <row r="227" spans="3:7" hidden="1">
      <c r="C227" s="1268" t="s">
        <v>695</v>
      </c>
      <c r="D227" s="1241" t="s">
        <v>3027</v>
      </c>
      <c r="E227" s="1245" t="s">
        <v>36</v>
      </c>
      <c r="F227" s="2317" t="e">
        <f>+'VAL. PRINC'!#REF!</f>
        <v>#REF!</v>
      </c>
      <c r="G227" s="2296"/>
    </row>
    <row r="228" spans="3:7" hidden="1">
      <c r="C228" s="1268" t="s">
        <v>696</v>
      </c>
      <c r="D228" s="1241" t="s">
        <v>3028</v>
      </c>
      <c r="E228" s="1245" t="s">
        <v>37</v>
      </c>
      <c r="F228" s="2317" t="e">
        <f>+'VAL. PRINC'!#REF!</f>
        <v>#REF!</v>
      </c>
      <c r="G228" s="2296"/>
    </row>
    <row r="229" spans="3:7" hidden="1">
      <c r="C229" s="1268" t="s">
        <v>697</v>
      </c>
      <c r="D229" s="1241" t="s">
        <v>3029</v>
      </c>
      <c r="E229" s="1245" t="s">
        <v>36</v>
      </c>
      <c r="F229" s="2317" t="e">
        <f>+'VAL. PRINC'!#REF!</f>
        <v>#REF!</v>
      </c>
      <c r="G229" s="2296"/>
    </row>
    <row r="230" spans="3:7" hidden="1">
      <c r="C230" s="1268" t="s">
        <v>698</v>
      </c>
      <c r="D230" s="1241" t="s">
        <v>3030</v>
      </c>
      <c r="E230" s="1245" t="s">
        <v>38</v>
      </c>
      <c r="F230" s="2317" t="e">
        <f>+'VAL. PRINC'!#REF!</f>
        <v>#REF!</v>
      </c>
      <c r="G230" s="2296"/>
    </row>
    <row r="231" spans="3:7" hidden="1">
      <c r="C231" s="1272" t="s">
        <v>701</v>
      </c>
      <c r="D231" s="1262" t="s">
        <v>3031</v>
      </c>
      <c r="E231" s="1273"/>
      <c r="F231" s="2317"/>
      <c r="G231" s="2296"/>
    </row>
    <row r="232" spans="3:7" hidden="1">
      <c r="C232" s="1268" t="s">
        <v>702</v>
      </c>
      <c r="D232" s="1241" t="s">
        <v>3032</v>
      </c>
      <c r="E232" s="1245" t="s">
        <v>36</v>
      </c>
      <c r="F232" s="2317" t="e">
        <f>+'VAL. PRINC'!#REF!</f>
        <v>#REF!</v>
      </c>
      <c r="G232" s="2296"/>
    </row>
    <row r="233" spans="3:7" hidden="1">
      <c r="C233" s="1268" t="s">
        <v>703</v>
      </c>
      <c r="D233" s="1241" t="s">
        <v>3033</v>
      </c>
      <c r="E233" s="1245" t="s">
        <v>36</v>
      </c>
      <c r="F233" s="2317" t="e">
        <f>+'VAL. PRINC'!#REF!</f>
        <v>#REF!</v>
      </c>
      <c r="G233" s="2296"/>
    </row>
    <row r="234" spans="3:7" hidden="1">
      <c r="C234" s="1268" t="s">
        <v>704</v>
      </c>
      <c r="D234" s="1241" t="s">
        <v>3034</v>
      </c>
      <c r="E234" s="1245" t="s">
        <v>36</v>
      </c>
      <c r="F234" s="2317" t="e">
        <f>+'VAL. PRINC'!#REF!</f>
        <v>#REF!</v>
      </c>
      <c r="G234" s="2296"/>
    </row>
    <row r="235" spans="3:7" hidden="1">
      <c r="C235" s="1268" t="s">
        <v>705</v>
      </c>
      <c r="D235" s="1241" t="s">
        <v>3035</v>
      </c>
      <c r="E235" s="1245" t="s">
        <v>36</v>
      </c>
      <c r="F235" s="2317" t="e">
        <f>+'VAL. PRINC'!#REF!</f>
        <v>#REF!</v>
      </c>
      <c r="G235" s="2296"/>
    </row>
    <row r="236" spans="3:7" hidden="1">
      <c r="C236" s="1268" t="s">
        <v>706</v>
      </c>
      <c r="D236" s="1241" t="s">
        <v>3036</v>
      </c>
      <c r="E236" s="1245" t="s">
        <v>36</v>
      </c>
      <c r="F236" s="2317" t="e">
        <f>+'VAL. PRINC'!#REF!</f>
        <v>#REF!</v>
      </c>
      <c r="G236" s="2296"/>
    </row>
    <row r="237" spans="3:7" hidden="1">
      <c r="C237" s="1268" t="s">
        <v>707</v>
      </c>
      <c r="D237" s="1241" t="s">
        <v>3037</v>
      </c>
      <c r="E237" s="1245" t="s">
        <v>36</v>
      </c>
      <c r="F237" s="2317" t="e">
        <f>+'VAL. PRINC'!#REF!</f>
        <v>#REF!</v>
      </c>
      <c r="G237" s="2296"/>
    </row>
    <row r="238" spans="3:7" hidden="1">
      <c r="C238" s="1268" t="s">
        <v>2402</v>
      </c>
      <c r="D238" s="1241" t="s">
        <v>3038</v>
      </c>
      <c r="E238" s="1245" t="s">
        <v>36</v>
      </c>
      <c r="F238" s="2317" t="e">
        <f>+'VAL. PRINC'!#REF!</f>
        <v>#REF!</v>
      </c>
      <c r="G238" s="2296"/>
    </row>
    <row r="239" spans="3:7" hidden="1">
      <c r="C239" s="1268" t="s">
        <v>2403</v>
      </c>
      <c r="D239" s="1241" t="s">
        <v>3039</v>
      </c>
      <c r="E239" s="1245" t="s">
        <v>38</v>
      </c>
      <c r="F239" s="2317" t="e">
        <f>+'VAL. PRINC'!#REF!</f>
        <v>#REF!</v>
      </c>
      <c r="G239" s="2296"/>
    </row>
    <row r="240" spans="3:7" hidden="1">
      <c r="C240" s="1272" t="s">
        <v>708</v>
      </c>
      <c r="D240" s="1262" t="s">
        <v>3040</v>
      </c>
      <c r="E240" s="1273"/>
      <c r="F240" s="2317"/>
      <c r="G240" s="2296"/>
    </row>
    <row r="241" spans="3:7" hidden="1">
      <c r="C241" s="1268" t="s">
        <v>709</v>
      </c>
      <c r="D241" s="1241" t="s">
        <v>3041</v>
      </c>
      <c r="E241" s="1245" t="s">
        <v>36</v>
      </c>
      <c r="F241" s="2317" t="e">
        <f>+'VAL. PRINC'!#REF!</f>
        <v>#REF!</v>
      </c>
      <c r="G241" s="2296"/>
    </row>
    <row r="242" spans="3:7" hidden="1">
      <c r="C242" s="1268" t="s">
        <v>712</v>
      </c>
      <c r="D242" s="1241" t="s">
        <v>3042</v>
      </c>
      <c r="E242" s="1245" t="s">
        <v>36</v>
      </c>
      <c r="F242" s="2317" t="e">
        <f>+'VAL. PRINC'!#REF!</f>
        <v>#REF!</v>
      </c>
      <c r="G242" s="2296"/>
    </row>
    <row r="243" spans="3:7" hidden="1">
      <c r="C243" s="1268" t="s">
        <v>716</v>
      </c>
      <c r="D243" s="1241" t="s">
        <v>3043</v>
      </c>
      <c r="E243" s="1245" t="s">
        <v>36</v>
      </c>
      <c r="F243" s="2317" t="e">
        <f>+'VAL. PRINC'!#REF!</f>
        <v>#REF!</v>
      </c>
      <c r="G243" s="2296"/>
    </row>
    <row r="244" spans="3:7" hidden="1">
      <c r="C244" s="1268" t="s">
        <v>720</v>
      </c>
      <c r="D244" s="1241" t="s">
        <v>3044</v>
      </c>
      <c r="E244" s="1245" t="s">
        <v>36</v>
      </c>
      <c r="F244" s="2317" t="e">
        <f>+'VAL. PRINC'!#REF!</f>
        <v>#REF!</v>
      </c>
      <c r="G244" s="2296"/>
    </row>
    <row r="245" spans="3:7" hidden="1">
      <c r="C245" s="1268" t="s">
        <v>724</v>
      </c>
      <c r="D245" s="1241" t="s">
        <v>3045</v>
      </c>
      <c r="E245" s="1245" t="s">
        <v>36</v>
      </c>
      <c r="F245" s="2317" t="e">
        <f>+'VAL. PRINC'!#REF!</f>
        <v>#REF!</v>
      </c>
      <c r="G245" s="2296"/>
    </row>
    <row r="246" spans="3:7" hidden="1">
      <c r="C246" s="1268" t="s">
        <v>728</v>
      </c>
      <c r="D246" s="1241" t="s">
        <v>3046</v>
      </c>
      <c r="E246" s="1245" t="s">
        <v>36</v>
      </c>
      <c r="F246" s="2317" t="e">
        <f>+'VAL. PRINC'!#REF!</f>
        <v>#REF!</v>
      </c>
      <c r="G246" s="2296"/>
    </row>
    <row r="247" spans="3:7" hidden="1">
      <c r="C247" s="1268" t="s">
        <v>733</v>
      </c>
      <c r="D247" s="1241" t="s">
        <v>3047</v>
      </c>
      <c r="E247" s="1245" t="s">
        <v>36</v>
      </c>
      <c r="F247" s="2317" t="e">
        <f>+'VAL. PRINC'!#REF!</f>
        <v>#REF!</v>
      </c>
      <c r="G247" s="2296"/>
    </row>
    <row r="248" spans="3:7" hidden="1">
      <c r="C248" s="1268" t="s">
        <v>2404</v>
      </c>
      <c r="D248" s="1241" t="s">
        <v>3048</v>
      </c>
      <c r="E248" s="1245" t="s">
        <v>36</v>
      </c>
      <c r="F248" s="2317" t="e">
        <f>+'VAL. PRINC'!#REF!</f>
        <v>#REF!</v>
      </c>
      <c r="G248" s="2296"/>
    </row>
    <row r="249" spans="3:7" hidden="1">
      <c r="C249" s="1268" t="s">
        <v>2405</v>
      </c>
      <c r="D249" s="1241" t="s">
        <v>3049</v>
      </c>
      <c r="E249" s="1245" t="s">
        <v>38</v>
      </c>
      <c r="F249" s="2317" t="e">
        <f>+'VAL. PRINC'!#REF!</f>
        <v>#REF!</v>
      </c>
      <c r="G249" s="2296"/>
    </row>
    <row r="250" spans="3:7" hidden="1">
      <c r="C250" s="1268" t="s">
        <v>2406</v>
      </c>
      <c r="D250" s="1241" t="s">
        <v>3050</v>
      </c>
      <c r="E250" s="1245" t="s">
        <v>38</v>
      </c>
      <c r="F250" s="2317" t="e">
        <f>+'VAL. PRINC'!#REF!</f>
        <v>#REF!</v>
      </c>
      <c r="G250" s="2296"/>
    </row>
    <row r="251" spans="3:7" hidden="1">
      <c r="C251" s="1272" t="s">
        <v>737</v>
      </c>
      <c r="D251" s="1262" t="s">
        <v>2989</v>
      </c>
      <c r="E251" s="1273"/>
      <c r="F251" s="2317"/>
      <c r="G251" s="2296"/>
    </row>
    <row r="252" spans="3:7" hidden="1">
      <c r="C252" s="1268" t="s">
        <v>738</v>
      </c>
      <c r="D252" s="1241" t="s">
        <v>3051</v>
      </c>
      <c r="E252" s="1245" t="s">
        <v>36</v>
      </c>
      <c r="F252" s="2317" t="e">
        <f>+'VAL. PRINC'!#REF!</f>
        <v>#REF!</v>
      </c>
      <c r="G252" s="2296"/>
    </row>
    <row r="253" spans="3:7" hidden="1">
      <c r="C253" s="1268" t="s">
        <v>2407</v>
      </c>
      <c r="D253" s="1241" t="s">
        <v>3052</v>
      </c>
      <c r="E253" s="1245" t="s">
        <v>38</v>
      </c>
      <c r="F253" s="2317" t="e">
        <f>+'VAL. PRINC'!#REF!</f>
        <v>#REF!</v>
      </c>
      <c r="G253" s="2296"/>
    </row>
    <row r="254" spans="3:7" hidden="1">
      <c r="C254" s="1268" t="s">
        <v>2408</v>
      </c>
      <c r="D254" s="1241" t="s">
        <v>3053</v>
      </c>
      <c r="E254" s="1245" t="s">
        <v>38</v>
      </c>
      <c r="F254" s="2317" t="e">
        <f>+'VAL. PRINC'!#REF!</f>
        <v>#REF!</v>
      </c>
      <c r="G254" s="2296"/>
    </row>
    <row r="255" spans="3:7" hidden="1">
      <c r="C255" s="1268" t="s">
        <v>2409</v>
      </c>
      <c r="D255" s="1241" t="s">
        <v>3054</v>
      </c>
      <c r="E255" s="1245" t="s">
        <v>38</v>
      </c>
      <c r="F255" s="2317" t="e">
        <f>+'VAL. PRINC'!#REF!</f>
        <v>#REF!</v>
      </c>
      <c r="G255" s="2296"/>
    </row>
    <row r="256" spans="3:7" hidden="1">
      <c r="C256" s="1268" t="s">
        <v>2410</v>
      </c>
      <c r="D256" s="1241" t="s">
        <v>3055</v>
      </c>
      <c r="E256" s="1245" t="s">
        <v>38</v>
      </c>
      <c r="F256" s="2317" t="e">
        <f>+'VAL. PRINC'!#REF!</f>
        <v>#REF!</v>
      </c>
      <c r="G256" s="2296"/>
    </row>
    <row r="257" spans="3:7" hidden="1">
      <c r="C257" s="1268" t="s">
        <v>2411</v>
      </c>
      <c r="D257" s="1241" t="s">
        <v>3056</v>
      </c>
      <c r="E257" s="1245" t="s">
        <v>36</v>
      </c>
      <c r="F257" s="2317" t="e">
        <f>+'VAL. PRINC'!#REF!</f>
        <v>#REF!</v>
      </c>
      <c r="G257" s="2296"/>
    </row>
    <row r="258" spans="3:7" hidden="1">
      <c r="C258" s="1268" t="s">
        <v>2412</v>
      </c>
      <c r="D258" s="1241" t="s">
        <v>3057</v>
      </c>
      <c r="E258" s="1245" t="s">
        <v>37</v>
      </c>
      <c r="F258" s="2317" t="e">
        <f>+'VAL. PRINC'!#REF!</f>
        <v>#REF!</v>
      </c>
      <c r="G258" s="2296"/>
    </row>
    <row r="259" spans="3:7" hidden="1">
      <c r="C259" s="1268" t="s">
        <v>2413</v>
      </c>
      <c r="D259" s="1241" t="s">
        <v>3058</v>
      </c>
      <c r="E259" s="1245" t="s">
        <v>36</v>
      </c>
      <c r="F259" s="2317" t="e">
        <f>+'VAL. PRINC'!#REF!</f>
        <v>#REF!</v>
      </c>
      <c r="G259" s="2296"/>
    </row>
    <row r="260" spans="3:7" hidden="1">
      <c r="C260" s="1268" t="s">
        <v>2414</v>
      </c>
      <c r="D260" s="1241" t="s">
        <v>3059</v>
      </c>
      <c r="E260" s="1245" t="s">
        <v>38</v>
      </c>
      <c r="F260" s="2317" t="e">
        <f>+'VAL. PRINC'!#REF!</f>
        <v>#REF!</v>
      </c>
      <c r="G260" s="2296"/>
    </row>
    <row r="261" spans="3:7" hidden="1">
      <c r="C261" s="1268" t="s">
        <v>2415</v>
      </c>
      <c r="D261" s="1241" t="s">
        <v>3060</v>
      </c>
      <c r="E261" s="1245" t="s">
        <v>37</v>
      </c>
      <c r="F261" s="2317" t="e">
        <f>+'VAL. PRINC'!#REF!</f>
        <v>#REF!</v>
      </c>
      <c r="G261" s="2296"/>
    </row>
    <row r="262" spans="3:7" hidden="1">
      <c r="C262" s="1272" t="s">
        <v>739</v>
      </c>
      <c r="D262" s="1262" t="s">
        <v>2922</v>
      </c>
      <c r="E262" s="1273"/>
      <c r="F262" s="2317"/>
      <c r="G262" s="2296"/>
    </row>
    <row r="263" spans="3:7" hidden="1">
      <c r="C263" s="1268" t="s">
        <v>740</v>
      </c>
      <c r="D263" s="1241" t="s">
        <v>3061</v>
      </c>
      <c r="E263" s="1245" t="s">
        <v>36</v>
      </c>
      <c r="F263" s="2317" t="e">
        <f>+'VAL. PRINC'!#REF!</f>
        <v>#REF!</v>
      </c>
      <c r="G263" s="2296"/>
    </row>
    <row r="264" spans="3:7" hidden="1">
      <c r="C264" s="1268" t="s">
        <v>741</v>
      </c>
      <c r="D264" s="1241" t="s">
        <v>3062</v>
      </c>
      <c r="E264" s="1245" t="s">
        <v>38</v>
      </c>
      <c r="F264" s="2317" t="e">
        <f>+'VAL. PRINC'!#REF!</f>
        <v>#REF!</v>
      </c>
      <c r="G264" s="2296"/>
    </row>
    <row r="265" spans="3:7" hidden="1">
      <c r="C265" s="1268" t="s">
        <v>2416</v>
      </c>
      <c r="D265" s="1241" t="s">
        <v>3063</v>
      </c>
      <c r="E265" s="1245" t="s">
        <v>38</v>
      </c>
      <c r="F265" s="2317" t="e">
        <f>+'VAL. PRINC'!#REF!</f>
        <v>#REF!</v>
      </c>
      <c r="G265" s="2296"/>
    </row>
    <row r="266" spans="3:7" hidden="1">
      <c r="C266" s="1263" t="s">
        <v>742</v>
      </c>
      <c r="D266" s="1264" t="s">
        <v>3064</v>
      </c>
      <c r="E266" s="1265"/>
      <c r="F266" s="2317"/>
      <c r="G266" s="2296"/>
    </row>
    <row r="267" spans="3:7" hidden="1">
      <c r="C267" s="1268" t="s">
        <v>743</v>
      </c>
      <c r="D267" s="1241" t="s">
        <v>3065</v>
      </c>
      <c r="E267" s="1245" t="s">
        <v>38</v>
      </c>
      <c r="F267" s="2317" t="e">
        <f>+'VAL. PRINC'!#REF!</f>
        <v>#REF!</v>
      </c>
      <c r="G267" s="2296"/>
    </row>
    <row r="268" spans="3:7" hidden="1">
      <c r="C268" s="1268" t="s">
        <v>746</v>
      </c>
      <c r="D268" s="1241" t="s">
        <v>3066</v>
      </c>
      <c r="E268" s="1245" t="s">
        <v>37</v>
      </c>
      <c r="F268" s="2317" t="e">
        <f>+'VAL. PRINC'!#REF!</f>
        <v>#REF!</v>
      </c>
      <c r="G268" s="2296"/>
    </row>
    <row r="269" spans="3:7" hidden="1">
      <c r="C269" s="1268" t="s">
        <v>748</v>
      </c>
      <c r="D269" s="1241" t="s">
        <v>3067</v>
      </c>
      <c r="E269" s="1245" t="s">
        <v>38</v>
      </c>
      <c r="F269" s="2317" t="e">
        <f>+'VAL. PRINC'!#REF!</f>
        <v>#REF!</v>
      </c>
      <c r="G269" s="2296"/>
    </row>
    <row r="270" spans="3:7" hidden="1">
      <c r="C270" s="1268" t="s">
        <v>761</v>
      </c>
      <c r="D270" s="1241" t="s">
        <v>3068</v>
      </c>
      <c r="E270" s="1245" t="s">
        <v>37</v>
      </c>
      <c r="F270" s="2317" t="e">
        <f>+'VAL. PRINC'!#REF!</f>
        <v>#REF!</v>
      </c>
      <c r="G270" s="2296"/>
    </row>
    <row r="271" spans="3:7" hidden="1">
      <c r="C271" s="1268" t="s">
        <v>2417</v>
      </c>
      <c r="D271" s="1241" t="s">
        <v>3069</v>
      </c>
      <c r="E271" s="1245" t="s">
        <v>37</v>
      </c>
      <c r="F271" s="2317" t="e">
        <f>+'VAL. PRINC'!#REF!</f>
        <v>#REF!</v>
      </c>
      <c r="G271" s="2296"/>
    </row>
    <row r="272" spans="3:7" hidden="1">
      <c r="C272" s="1263" t="s">
        <v>763</v>
      </c>
      <c r="D272" s="1264" t="s">
        <v>3070</v>
      </c>
      <c r="E272" s="1265"/>
      <c r="F272" s="2317"/>
      <c r="G272" s="2296"/>
    </row>
    <row r="273" spans="3:7" hidden="1">
      <c r="C273" s="1268" t="s">
        <v>764</v>
      </c>
      <c r="D273" s="1241" t="s">
        <v>3071</v>
      </c>
      <c r="E273" s="1245" t="s">
        <v>38</v>
      </c>
      <c r="F273" s="2317" t="e">
        <f>+'VAL. PRINC'!#REF!</f>
        <v>#REF!</v>
      </c>
      <c r="G273" s="2296"/>
    </row>
    <row r="274" spans="3:7" hidden="1">
      <c r="C274" s="1268" t="s">
        <v>767</v>
      </c>
      <c r="D274" s="1241" t="s">
        <v>3072</v>
      </c>
      <c r="E274" s="1245" t="s">
        <v>38</v>
      </c>
      <c r="F274" s="2317" t="e">
        <f>+'VAL. PRINC'!#REF!</f>
        <v>#REF!</v>
      </c>
      <c r="G274" s="2296"/>
    </row>
    <row r="275" spans="3:7">
      <c r="C275" s="1269" t="s">
        <v>45</v>
      </c>
      <c r="D275" s="1270" t="s">
        <v>1234</v>
      </c>
      <c r="E275" s="1271"/>
      <c r="F275" s="2317"/>
      <c r="G275" s="2296"/>
    </row>
    <row r="276" spans="3:7">
      <c r="C276" s="1263" t="s">
        <v>47</v>
      </c>
      <c r="D276" s="1264" t="s">
        <v>3073</v>
      </c>
      <c r="E276" s="1265"/>
      <c r="F276" s="2317"/>
      <c r="G276" s="2296"/>
    </row>
    <row r="277" spans="3:7" hidden="1">
      <c r="C277" s="1268" t="s">
        <v>49</v>
      </c>
      <c r="D277" s="1241" t="s">
        <v>3074</v>
      </c>
      <c r="E277" s="1245" t="s">
        <v>37</v>
      </c>
      <c r="F277" s="2317" t="e">
        <f>+'VAL. PRINC'!#REF!</f>
        <v>#REF!</v>
      </c>
      <c r="G277" s="2296"/>
    </row>
    <row r="278" spans="3:7" hidden="1">
      <c r="C278" s="1268" t="s">
        <v>50</v>
      </c>
      <c r="D278" s="1241" t="s">
        <v>3075</v>
      </c>
      <c r="E278" s="1245" t="s">
        <v>37</v>
      </c>
      <c r="F278" s="2317" t="e">
        <f>+'VAL. PRINC'!#REF!</f>
        <v>#REF!</v>
      </c>
      <c r="G278" s="2296"/>
    </row>
    <row r="279" spans="3:7">
      <c r="C279" s="1268" t="s">
        <v>51</v>
      </c>
      <c r="D279" s="1241" t="s">
        <v>3076</v>
      </c>
      <c r="E279" s="1245" t="s">
        <v>37</v>
      </c>
      <c r="F279" s="2317" t="e">
        <f>+'VAL. PRINC'!#REF!</f>
        <v>#REF!</v>
      </c>
      <c r="G279" s="2296"/>
    </row>
    <row r="280" spans="3:7">
      <c r="C280" s="1268" t="s">
        <v>277</v>
      </c>
      <c r="D280" s="1241" t="s">
        <v>3077</v>
      </c>
      <c r="E280" s="1245" t="s">
        <v>37</v>
      </c>
      <c r="F280" s="2317" t="e">
        <f>+'VAL. PRINC'!#REF!</f>
        <v>#REF!</v>
      </c>
      <c r="G280" s="2296"/>
    </row>
    <row r="281" spans="3:7" hidden="1">
      <c r="C281" s="1268" t="s">
        <v>279</v>
      </c>
      <c r="D281" s="1241" t="s">
        <v>3078</v>
      </c>
      <c r="E281" s="1245" t="s">
        <v>37</v>
      </c>
      <c r="F281" s="2317" t="e">
        <f>+'VAL. PRINC'!#REF!</f>
        <v>#REF!</v>
      </c>
      <c r="G281" s="2296"/>
    </row>
    <row r="282" spans="3:7" hidden="1">
      <c r="C282" s="1268" t="s">
        <v>280</v>
      </c>
      <c r="D282" s="1241" t="s">
        <v>3079</v>
      </c>
      <c r="E282" s="1245" t="s">
        <v>37</v>
      </c>
      <c r="F282" s="2317" t="e">
        <f>+'VAL. PRINC'!#REF!</f>
        <v>#REF!</v>
      </c>
      <c r="G282" s="2296"/>
    </row>
    <row r="283" spans="3:7" hidden="1">
      <c r="C283" s="1268" t="s">
        <v>281</v>
      </c>
      <c r="D283" s="1241" t="s">
        <v>3080</v>
      </c>
      <c r="E283" s="1245" t="s">
        <v>37</v>
      </c>
      <c r="F283" s="2317" t="e">
        <f>+'VAL. PRINC'!#REF!</f>
        <v>#REF!</v>
      </c>
      <c r="G283" s="2296"/>
    </row>
    <row r="284" spans="3:7">
      <c r="C284" s="1263" t="s">
        <v>475</v>
      </c>
      <c r="D284" s="1264" t="s">
        <v>3081</v>
      </c>
      <c r="E284" s="1265"/>
      <c r="F284" s="2317"/>
      <c r="G284" s="2296"/>
    </row>
    <row r="285" spans="3:7">
      <c r="C285" s="1268" t="s">
        <v>476</v>
      </c>
      <c r="D285" s="1241" t="s">
        <v>3082</v>
      </c>
      <c r="E285" s="1245" t="s">
        <v>37</v>
      </c>
      <c r="F285" s="2317" t="e">
        <f>+'VAL. PRINC'!#REF!</f>
        <v>#REF!</v>
      </c>
      <c r="G285" s="2296"/>
    </row>
    <row r="286" spans="3:7" hidden="1">
      <c r="C286" s="1268" t="s">
        <v>477</v>
      </c>
      <c r="D286" s="1241" t="s">
        <v>3083</v>
      </c>
      <c r="E286" s="1245" t="s">
        <v>37</v>
      </c>
      <c r="F286" s="2317" t="e">
        <f>+'VAL. PRINC'!#REF!</f>
        <v>#REF!</v>
      </c>
      <c r="G286" s="2296"/>
    </row>
    <row r="287" spans="3:7">
      <c r="C287" s="1268" t="s">
        <v>478</v>
      </c>
      <c r="D287" s="1241" t="s">
        <v>3084</v>
      </c>
      <c r="E287" s="1245" t="s">
        <v>37</v>
      </c>
      <c r="F287" s="2317" t="e">
        <f>+'VAL. PRINC'!#REF!</f>
        <v>#REF!</v>
      </c>
      <c r="G287" s="2296"/>
    </row>
    <row r="288" spans="3:7" hidden="1">
      <c r="C288" s="1268" t="s">
        <v>479</v>
      </c>
      <c r="D288" s="1241" t="s">
        <v>3085</v>
      </c>
      <c r="E288" s="1245" t="s">
        <v>37</v>
      </c>
      <c r="F288" s="2317" t="e">
        <f>+'VAL. PRINC'!#REF!</f>
        <v>#REF!</v>
      </c>
      <c r="G288" s="2296"/>
    </row>
    <row r="289" spans="3:7">
      <c r="C289" s="1268" t="s">
        <v>480</v>
      </c>
      <c r="D289" s="1241" t="s">
        <v>3086</v>
      </c>
      <c r="E289" s="1245" t="s">
        <v>37</v>
      </c>
      <c r="F289" s="2317" t="e">
        <f>+'VAL. PRINC'!#REF!</f>
        <v>#REF!</v>
      </c>
      <c r="G289" s="2296"/>
    </row>
    <row r="290" spans="3:7" hidden="1">
      <c r="C290" s="1268" t="s">
        <v>481</v>
      </c>
      <c r="D290" s="1241" t="s">
        <v>3087</v>
      </c>
      <c r="E290" s="1245" t="s">
        <v>37</v>
      </c>
      <c r="F290" s="2317" t="e">
        <f>+'VAL. PRINC'!#REF!</f>
        <v>#REF!</v>
      </c>
      <c r="G290" s="2296"/>
    </row>
    <row r="291" spans="3:7" hidden="1">
      <c r="C291" s="1268" t="s">
        <v>482</v>
      </c>
      <c r="D291" s="1241" t="s">
        <v>3088</v>
      </c>
      <c r="E291" s="1245" t="s">
        <v>37</v>
      </c>
      <c r="F291" s="2317" t="e">
        <f>+'VAL. PRINC'!#REF!</f>
        <v>#REF!</v>
      </c>
      <c r="G291" s="2296"/>
    </row>
    <row r="292" spans="3:7">
      <c r="C292" s="1268" t="s">
        <v>483</v>
      </c>
      <c r="D292" s="1241" t="s">
        <v>3089</v>
      </c>
      <c r="E292" s="1245" t="s">
        <v>37</v>
      </c>
      <c r="F292" s="2317" t="e">
        <f>+'VAL. PRINC'!#REF!</f>
        <v>#REF!</v>
      </c>
      <c r="G292" s="2296"/>
    </row>
    <row r="293" spans="3:7" hidden="1">
      <c r="C293" s="1268" t="s">
        <v>866</v>
      </c>
      <c r="D293" s="1241" t="s">
        <v>3090</v>
      </c>
      <c r="E293" s="1245" t="s">
        <v>37</v>
      </c>
      <c r="F293" s="2317" t="e">
        <f>+'VAL. PRINC'!#REF!</f>
        <v>#REF!</v>
      </c>
      <c r="G293" s="2296"/>
    </row>
    <row r="294" spans="3:7" hidden="1">
      <c r="C294" s="1268" t="s">
        <v>868</v>
      </c>
      <c r="D294" s="1241" t="s">
        <v>3091</v>
      </c>
      <c r="E294" s="1245" t="s">
        <v>37</v>
      </c>
      <c r="F294" s="2317" t="e">
        <f>+'VAL. PRINC'!#REF!</f>
        <v>#REF!</v>
      </c>
      <c r="G294" s="2296"/>
    </row>
    <row r="295" spans="3:7" hidden="1">
      <c r="C295" s="1268" t="s">
        <v>872</v>
      </c>
      <c r="D295" s="1241" t="s">
        <v>3092</v>
      </c>
      <c r="E295" s="1245" t="s">
        <v>37</v>
      </c>
      <c r="F295" s="2317" t="e">
        <f>+'VAL. PRINC'!#REF!</f>
        <v>#REF!</v>
      </c>
      <c r="G295" s="2296"/>
    </row>
    <row r="296" spans="3:7" hidden="1">
      <c r="C296" s="1268" t="s">
        <v>875</v>
      </c>
      <c r="D296" s="1241" t="s">
        <v>3093</v>
      </c>
      <c r="E296" s="1245" t="s">
        <v>37</v>
      </c>
      <c r="F296" s="2317" t="e">
        <f>+'VAL. PRINC'!#REF!</f>
        <v>#REF!</v>
      </c>
      <c r="G296" s="2296"/>
    </row>
    <row r="297" spans="3:7" hidden="1">
      <c r="C297" s="1268" t="s">
        <v>883</v>
      </c>
      <c r="D297" s="1241" t="s">
        <v>3094</v>
      </c>
      <c r="E297" s="1245" t="s">
        <v>37</v>
      </c>
      <c r="F297" s="2317" t="e">
        <f>+'VAL. PRINC'!#REF!</f>
        <v>#REF!</v>
      </c>
      <c r="G297" s="2296"/>
    </row>
    <row r="298" spans="3:7" hidden="1">
      <c r="C298" s="1268" t="s">
        <v>2418</v>
      </c>
      <c r="D298" s="1241" t="s">
        <v>3095</v>
      </c>
      <c r="E298" s="1245" t="s">
        <v>37</v>
      </c>
      <c r="F298" s="2317" t="e">
        <f>+'VAL. PRINC'!#REF!</f>
        <v>#REF!</v>
      </c>
      <c r="G298" s="2296"/>
    </row>
    <row r="299" spans="3:7" hidden="1">
      <c r="C299" s="1268" t="s">
        <v>2419</v>
      </c>
      <c r="D299" s="1241" t="s">
        <v>3096</v>
      </c>
      <c r="E299" s="1245" t="s">
        <v>37</v>
      </c>
      <c r="F299" s="2317" t="e">
        <f>+'VAL. PRINC'!#REF!</f>
        <v>#REF!</v>
      </c>
      <c r="G299" s="2296"/>
    </row>
    <row r="300" spans="3:7" hidden="1">
      <c r="C300" s="1268" t="s">
        <v>2420</v>
      </c>
      <c r="D300" s="1241" t="s">
        <v>3097</v>
      </c>
      <c r="E300" s="1245" t="s">
        <v>37</v>
      </c>
      <c r="F300" s="2317" t="e">
        <f>+'VAL. PRINC'!#REF!</f>
        <v>#REF!</v>
      </c>
      <c r="G300" s="2296"/>
    </row>
    <row r="301" spans="3:7">
      <c r="C301" s="1268" t="s">
        <v>2421</v>
      </c>
      <c r="D301" s="1241" t="s">
        <v>3098</v>
      </c>
      <c r="E301" s="1245" t="s">
        <v>37</v>
      </c>
      <c r="F301" s="2317" t="e">
        <f>+'VAL. PRINC'!#REF!</f>
        <v>#REF!</v>
      </c>
      <c r="G301" s="2296"/>
    </row>
    <row r="302" spans="3:7">
      <c r="C302" s="1268" t="s">
        <v>2422</v>
      </c>
      <c r="D302" s="1241" t="s">
        <v>3099</v>
      </c>
      <c r="E302" s="1245" t="s">
        <v>37</v>
      </c>
      <c r="F302" s="2317" t="e">
        <f>+'VAL. PRINC'!#REF!</f>
        <v>#REF!</v>
      </c>
      <c r="G302" s="2296"/>
    </row>
    <row r="303" spans="3:7">
      <c r="C303" s="1268" t="s">
        <v>2423</v>
      </c>
      <c r="D303" s="1241" t="s">
        <v>3100</v>
      </c>
      <c r="E303" s="1245" t="s">
        <v>38</v>
      </c>
      <c r="F303" s="2317" t="e">
        <f>+'VAL. PRINC'!#REF!</f>
        <v>#REF!</v>
      </c>
      <c r="G303" s="2296"/>
    </row>
    <row r="304" spans="3:7" hidden="1">
      <c r="C304" s="1268" t="s">
        <v>2424</v>
      </c>
      <c r="D304" s="1241" t="s">
        <v>3101</v>
      </c>
      <c r="E304" s="1245" t="s">
        <v>38</v>
      </c>
      <c r="F304" s="2317" t="e">
        <f>+'VAL. PRINC'!#REF!</f>
        <v>#REF!</v>
      </c>
      <c r="G304" s="2296"/>
    </row>
    <row r="305" spans="3:7" hidden="1">
      <c r="C305" s="1268" t="s">
        <v>2425</v>
      </c>
      <c r="D305" s="1241" t="s">
        <v>3102</v>
      </c>
      <c r="E305" s="1245" t="s">
        <v>37</v>
      </c>
      <c r="F305" s="2317" t="e">
        <f>+'VAL. PRINC'!#REF!</f>
        <v>#REF!</v>
      </c>
      <c r="G305" s="2296"/>
    </row>
    <row r="306" spans="3:7" hidden="1">
      <c r="C306" s="1268" t="s">
        <v>2426</v>
      </c>
      <c r="D306" s="1241" t="s">
        <v>3103</v>
      </c>
      <c r="E306" s="1245" t="s">
        <v>37</v>
      </c>
      <c r="F306" s="2317" t="e">
        <f>+'VAL. PRINC'!#REF!</f>
        <v>#REF!</v>
      </c>
      <c r="G306" s="2296"/>
    </row>
    <row r="307" spans="3:7" hidden="1">
      <c r="C307" s="1263" t="s">
        <v>484</v>
      </c>
      <c r="D307" s="1264" t="s">
        <v>3104</v>
      </c>
      <c r="E307" s="1265"/>
      <c r="F307" s="2317"/>
      <c r="G307" s="2296"/>
    </row>
    <row r="308" spans="3:7" hidden="1">
      <c r="C308" s="1268" t="s">
        <v>485</v>
      </c>
      <c r="D308" s="1241" t="s">
        <v>3105</v>
      </c>
      <c r="E308" s="1245" t="s">
        <v>37</v>
      </c>
      <c r="F308" s="2317" t="e">
        <f>+'VAL. PRINC'!#REF!</f>
        <v>#REF!</v>
      </c>
      <c r="G308" s="2296"/>
    </row>
    <row r="309" spans="3:7" hidden="1">
      <c r="C309" s="1268" t="s">
        <v>486</v>
      </c>
      <c r="D309" s="1241" t="s">
        <v>3106</v>
      </c>
      <c r="E309" s="1245" t="s">
        <v>37</v>
      </c>
      <c r="F309" s="2317" t="e">
        <f>+'VAL. PRINC'!#REF!</f>
        <v>#REF!</v>
      </c>
      <c r="G309" s="2296"/>
    </row>
    <row r="310" spans="3:7">
      <c r="C310" s="1263" t="s">
        <v>518</v>
      </c>
      <c r="D310" s="1264" t="s">
        <v>3107</v>
      </c>
      <c r="E310" s="1265"/>
      <c r="F310" s="2317"/>
      <c r="G310" s="2296"/>
    </row>
    <row r="311" spans="3:7">
      <c r="C311" s="1272" t="s">
        <v>519</v>
      </c>
      <c r="D311" s="1262" t="s">
        <v>3108</v>
      </c>
      <c r="E311" s="1273"/>
      <c r="F311" s="2317"/>
      <c r="G311" s="2296"/>
    </row>
    <row r="312" spans="3:7">
      <c r="C312" s="1268" t="s">
        <v>520</v>
      </c>
      <c r="D312" s="1241" t="s">
        <v>3109</v>
      </c>
      <c r="E312" s="1245" t="s">
        <v>37</v>
      </c>
      <c r="F312" s="2317" t="e">
        <f>+'VAL. PRINC'!#REF!</f>
        <v>#REF!</v>
      </c>
      <c r="G312" s="2296"/>
    </row>
    <row r="313" spans="3:7">
      <c r="C313" s="1272" t="s">
        <v>522</v>
      </c>
      <c r="D313" s="1262" t="s">
        <v>3110</v>
      </c>
      <c r="E313" s="1273"/>
      <c r="F313" s="2317"/>
      <c r="G313" s="2296"/>
    </row>
    <row r="314" spans="3:7" hidden="1">
      <c r="C314" s="1268" t="s">
        <v>523</v>
      </c>
      <c r="D314" s="1241" t="s">
        <v>3111</v>
      </c>
      <c r="E314" s="1245" t="s">
        <v>37</v>
      </c>
      <c r="F314" s="2317" t="e">
        <f>+'VAL. PRINC'!#REF!</f>
        <v>#REF!</v>
      </c>
      <c r="G314" s="2296"/>
    </row>
    <row r="315" spans="3:7" hidden="1">
      <c r="C315" s="1268" t="s">
        <v>935</v>
      </c>
      <c r="D315" s="1241" t="s">
        <v>3112</v>
      </c>
      <c r="E315" s="1245" t="s">
        <v>37</v>
      </c>
      <c r="F315" s="2317" t="e">
        <f>+'VAL. PRINC'!#REF!</f>
        <v>#REF!</v>
      </c>
      <c r="G315" s="2296"/>
    </row>
    <row r="316" spans="3:7" hidden="1">
      <c r="C316" s="1268" t="s">
        <v>936</v>
      </c>
      <c r="D316" s="1241" t="s">
        <v>3113</v>
      </c>
      <c r="E316" s="1245" t="s">
        <v>37</v>
      </c>
      <c r="F316" s="2317" t="e">
        <f>+'VAL. PRINC'!#REF!</f>
        <v>#REF!</v>
      </c>
      <c r="G316" s="2296"/>
    </row>
    <row r="317" spans="3:7" hidden="1">
      <c r="C317" s="1268" t="s">
        <v>937</v>
      </c>
      <c r="D317" s="1241" t="s">
        <v>3114</v>
      </c>
      <c r="E317" s="1245" t="s">
        <v>37</v>
      </c>
      <c r="F317" s="2317" t="e">
        <f>+'VAL. PRINC'!#REF!</f>
        <v>#REF!</v>
      </c>
      <c r="G317" s="2296"/>
    </row>
    <row r="318" spans="3:7" hidden="1">
      <c r="C318" s="1268" t="s">
        <v>938</v>
      </c>
      <c r="D318" s="1241" t="s">
        <v>3115</v>
      </c>
      <c r="E318" s="1245" t="s">
        <v>37</v>
      </c>
      <c r="F318" s="2317" t="e">
        <f>+'VAL. PRINC'!#REF!</f>
        <v>#REF!</v>
      </c>
      <c r="G318" s="2296"/>
    </row>
    <row r="319" spans="3:7" hidden="1">
      <c r="C319" s="1268" t="s">
        <v>939</v>
      </c>
      <c r="D319" s="1241" t="s">
        <v>3116</v>
      </c>
      <c r="E319" s="1245" t="s">
        <v>37</v>
      </c>
      <c r="F319" s="2317" t="e">
        <f>+'VAL. PRINC'!#REF!</f>
        <v>#REF!</v>
      </c>
      <c r="G319" s="2296"/>
    </row>
    <row r="320" spans="3:7" hidden="1">
      <c r="C320" s="1268" t="s">
        <v>940</v>
      </c>
      <c r="D320" s="1241" t="s">
        <v>3117</v>
      </c>
      <c r="E320" s="1245" t="s">
        <v>37</v>
      </c>
      <c r="F320" s="2317" t="e">
        <f>+'VAL. PRINC'!#REF!</f>
        <v>#REF!</v>
      </c>
      <c r="G320" s="2296"/>
    </row>
    <row r="321" spans="3:7" hidden="1">
      <c r="C321" s="1268" t="s">
        <v>2427</v>
      </c>
      <c r="D321" s="1241" t="s">
        <v>3118</v>
      </c>
      <c r="E321" s="1245" t="s">
        <v>37</v>
      </c>
      <c r="F321" s="2317" t="e">
        <f>+'VAL. PRINC'!#REF!</f>
        <v>#REF!</v>
      </c>
      <c r="G321" s="2296"/>
    </row>
    <row r="322" spans="3:7">
      <c r="C322" s="1268" t="s">
        <v>2428</v>
      </c>
      <c r="D322" s="1241" t="s">
        <v>3119</v>
      </c>
      <c r="E322" s="1245" t="s">
        <v>37</v>
      </c>
      <c r="F322" s="2317" t="e">
        <f>+'VAL. PRINC'!#REF!</f>
        <v>#REF!</v>
      </c>
      <c r="G322" s="2296"/>
    </row>
    <row r="323" spans="3:7" hidden="1">
      <c r="C323" s="1268" t="s">
        <v>2429</v>
      </c>
      <c r="D323" s="1241" t="s">
        <v>3120</v>
      </c>
      <c r="E323" s="1245" t="s">
        <v>37</v>
      </c>
      <c r="F323" s="2317" t="e">
        <f>+'VAL. PRINC'!#REF!</f>
        <v>#REF!</v>
      </c>
      <c r="G323" s="2296"/>
    </row>
    <row r="324" spans="3:7" hidden="1">
      <c r="C324" s="1268" t="s">
        <v>2430</v>
      </c>
      <c r="D324" s="1241" t="s">
        <v>3121</v>
      </c>
      <c r="E324" s="1245" t="s">
        <v>37</v>
      </c>
      <c r="F324" s="2317" t="e">
        <f>+'VAL. PRINC'!#REF!</f>
        <v>#REF!</v>
      </c>
      <c r="G324" s="2296"/>
    </row>
    <row r="325" spans="3:7" hidden="1">
      <c r="C325" s="1268" t="s">
        <v>2431</v>
      </c>
      <c r="D325" s="1241" t="s">
        <v>3122</v>
      </c>
      <c r="E325" s="1245" t="s">
        <v>38</v>
      </c>
      <c r="F325" s="2317" t="e">
        <f>+'VAL. PRINC'!#REF!</f>
        <v>#REF!</v>
      </c>
      <c r="G325" s="2296"/>
    </row>
    <row r="326" spans="3:7">
      <c r="C326" s="1268" t="s">
        <v>2432</v>
      </c>
      <c r="D326" s="1241" t="s">
        <v>3123</v>
      </c>
      <c r="E326" s="1245" t="s">
        <v>37</v>
      </c>
      <c r="F326" s="2317" t="e">
        <f>+'VAL. PRINC'!#REF!</f>
        <v>#REF!</v>
      </c>
      <c r="G326" s="2296"/>
    </row>
    <row r="327" spans="3:7" hidden="1">
      <c r="C327" s="1272" t="s">
        <v>524</v>
      </c>
      <c r="D327" s="1262" t="s">
        <v>3124</v>
      </c>
      <c r="E327" s="1273"/>
      <c r="F327" s="2317"/>
      <c r="G327" s="2296"/>
    </row>
    <row r="328" spans="3:7" hidden="1">
      <c r="C328" s="1268" t="s">
        <v>525</v>
      </c>
      <c r="D328" s="1241" t="s">
        <v>3125</v>
      </c>
      <c r="E328" s="1245" t="s">
        <v>38</v>
      </c>
      <c r="F328" s="2317" t="e">
        <f>+'VAL. PRINC'!#REF!</f>
        <v>#REF!</v>
      </c>
      <c r="G328" s="2296"/>
    </row>
    <row r="329" spans="3:7" hidden="1">
      <c r="C329" s="1268" t="s">
        <v>2433</v>
      </c>
      <c r="D329" s="1241" t="s">
        <v>3126</v>
      </c>
      <c r="E329" s="1245" t="s">
        <v>38</v>
      </c>
      <c r="F329" s="2317" t="e">
        <f>+'VAL. PRINC'!#REF!</f>
        <v>#REF!</v>
      </c>
      <c r="G329" s="2296"/>
    </row>
    <row r="330" spans="3:7" hidden="1">
      <c r="C330" s="1268" t="s">
        <v>2434</v>
      </c>
      <c r="D330" s="1241" t="s">
        <v>3127</v>
      </c>
      <c r="E330" s="1245" t="s">
        <v>38</v>
      </c>
      <c r="F330" s="2317" t="e">
        <f>+'VAL. PRINC'!#REF!</f>
        <v>#REF!</v>
      </c>
      <c r="G330" s="2296"/>
    </row>
    <row r="331" spans="3:7" hidden="1">
      <c r="C331" s="1268" t="s">
        <v>2435</v>
      </c>
      <c r="D331" s="1241" t="s">
        <v>3128</v>
      </c>
      <c r="E331" s="1245" t="s">
        <v>38</v>
      </c>
      <c r="F331" s="2317" t="e">
        <f>+'VAL. PRINC'!#REF!</f>
        <v>#REF!</v>
      </c>
      <c r="G331" s="2296"/>
    </row>
    <row r="332" spans="3:7" hidden="1">
      <c r="C332" s="1263" t="s">
        <v>526</v>
      </c>
      <c r="D332" s="1264" t="s">
        <v>3129</v>
      </c>
      <c r="E332" s="1265"/>
      <c r="F332" s="2317"/>
      <c r="G332" s="2296"/>
    </row>
    <row r="333" spans="3:7" hidden="1">
      <c r="C333" s="1272" t="s">
        <v>527</v>
      </c>
      <c r="D333" s="1262" t="s">
        <v>3130</v>
      </c>
      <c r="E333" s="1273"/>
      <c r="F333" s="2317"/>
      <c r="G333" s="2296"/>
    </row>
    <row r="334" spans="3:7" hidden="1">
      <c r="C334" s="1268" t="s">
        <v>528</v>
      </c>
      <c r="D334" s="1241" t="s">
        <v>3131</v>
      </c>
      <c r="E334" s="1245" t="s">
        <v>37</v>
      </c>
      <c r="F334" s="2317" t="e">
        <f>+'VAL. PRINC'!#REF!</f>
        <v>#REF!</v>
      </c>
      <c r="G334" s="2296"/>
    </row>
    <row r="335" spans="3:7" hidden="1">
      <c r="C335" s="1268" t="s">
        <v>2436</v>
      </c>
      <c r="D335" s="1241" t="s">
        <v>3132</v>
      </c>
      <c r="E335" s="1245" t="s">
        <v>37</v>
      </c>
      <c r="F335" s="2317" t="e">
        <f>+'VAL. PRINC'!#REF!</f>
        <v>#REF!</v>
      </c>
      <c r="G335" s="2296"/>
    </row>
    <row r="336" spans="3:7" hidden="1">
      <c r="C336" s="1268" t="s">
        <v>2437</v>
      </c>
      <c r="D336" s="1241" t="s">
        <v>3133</v>
      </c>
      <c r="E336" s="1245" t="s">
        <v>37</v>
      </c>
      <c r="F336" s="2317" t="e">
        <f>+'VAL. PRINC'!#REF!</f>
        <v>#REF!</v>
      </c>
      <c r="G336" s="2296"/>
    </row>
    <row r="337" spans="3:7" hidden="1">
      <c r="C337" s="1272" t="s">
        <v>977</v>
      </c>
      <c r="D337" s="1262" t="s">
        <v>3134</v>
      </c>
      <c r="E337" s="1273"/>
      <c r="F337" s="2317"/>
      <c r="G337" s="2296"/>
    </row>
    <row r="338" spans="3:7" hidden="1">
      <c r="C338" s="1268" t="s">
        <v>978</v>
      </c>
      <c r="D338" s="1241" t="s">
        <v>3135</v>
      </c>
      <c r="E338" s="1245" t="s">
        <v>38</v>
      </c>
      <c r="F338" s="2317" t="e">
        <f>+'VAL. PRINC'!#REF!</f>
        <v>#REF!</v>
      </c>
      <c r="G338" s="2296"/>
    </row>
    <row r="339" spans="3:7" hidden="1">
      <c r="C339" s="1268" t="s">
        <v>979</v>
      </c>
      <c r="D339" s="1241" t="s">
        <v>3136</v>
      </c>
      <c r="E339" s="1245" t="s">
        <v>38</v>
      </c>
      <c r="F339" s="2317" t="e">
        <f>+'VAL. PRINC'!#REF!</f>
        <v>#REF!</v>
      </c>
      <c r="G339" s="2296"/>
    </row>
    <row r="340" spans="3:7" hidden="1">
      <c r="C340" s="1263" t="s">
        <v>987</v>
      </c>
      <c r="D340" s="1264" t="s">
        <v>3137</v>
      </c>
      <c r="E340" s="1265"/>
      <c r="F340" s="2317"/>
      <c r="G340" s="2296"/>
    </row>
    <row r="341" spans="3:7" hidden="1">
      <c r="C341" s="1268" t="s">
        <v>988</v>
      </c>
      <c r="D341" s="1241" t="s">
        <v>3138</v>
      </c>
      <c r="E341" s="1245" t="s">
        <v>37</v>
      </c>
      <c r="F341" s="2317" t="e">
        <f>+'VAL. PRINC'!#REF!</f>
        <v>#REF!</v>
      </c>
      <c r="G341" s="2296"/>
    </row>
    <row r="342" spans="3:7">
      <c r="C342" s="1263" t="s">
        <v>990</v>
      </c>
      <c r="D342" s="1264" t="s">
        <v>3139</v>
      </c>
      <c r="E342" s="1265"/>
      <c r="F342" s="2317"/>
      <c r="G342" s="2296"/>
    </row>
    <row r="343" spans="3:7">
      <c r="C343" s="1268" t="s">
        <v>991</v>
      </c>
      <c r="D343" s="1241" t="s">
        <v>3140</v>
      </c>
      <c r="E343" s="1245" t="s">
        <v>37</v>
      </c>
      <c r="F343" s="2317" t="e">
        <f>+'VAL. PRINC'!#REF!</f>
        <v>#REF!</v>
      </c>
      <c r="G343" s="2296"/>
    </row>
    <row r="344" spans="3:7" hidden="1">
      <c r="C344" s="1268" t="s">
        <v>994</v>
      </c>
      <c r="D344" s="1241" t="s">
        <v>3141</v>
      </c>
      <c r="E344" s="1245" t="s">
        <v>37</v>
      </c>
      <c r="F344" s="2317" t="e">
        <f>+'VAL. PRINC'!#REF!</f>
        <v>#REF!</v>
      </c>
      <c r="G344" s="2296"/>
    </row>
    <row r="345" spans="3:7" hidden="1">
      <c r="C345" s="1268" t="s">
        <v>997</v>
      </c>
      <c r="D345" s="1241" t="s">
        <v>3142</v>
      </c>
      <c r="E345" s="1245" t="s">
        <v>37</v>
      </c>
      <c r="F345" s="2317" t="e">
        <f>+'VAL. PRINC'!#REF!</f>
        <v>#REF!</v>
      </c>
      <c r="G345" s="2296"/>
    </row>
    <row r="346" spans="3:7">
      <c r="C346" s="1268" t="s">
        <v>999</v>
      </c>
      <c r="D346" s="1241" t="s">
        <v>3143</v>
      </c>
      <c r="E346" s="1245" t="s">
        <v>37</v>
      </c>
      <c r="F346" s="2317" t="e">
        <f>+'VAL. PRINC'!#REF!</f>
        <v>#REF!</v>
      </c>
      <c r="G346" s="2296"/>
    </row>
    <row r="347" spans="3:7" hidden="1">
      <c r="C347" s="1268" t="s">
        <v>2438</v>
      </c>
      <c r="D347" s="1241" t="s">
        <v>3144</v>
      </c>
      <c r="E347" s="1245" t="s">
        <v>37</v>
      </c>
      <c r="F347" s="2317" t="e">
        <f>+'VAL. PRINC'!#REF!</f>
        <v>#REF!</v>
      </c>
      <c r="G347" s="2296"/>
    </row>
    <row r="348" spans="3:7" hidden="1">
      <c r="C348" s="1268" t="s">
        <v>2439</v>
      </c>
      <c r="D348" s="1241" t="s">
        <v>3145</v>
      </c>
      <c r="E348" s="1245" t="s">
        <v>37</v>
      </c>
      <c r="F348" s="2317" t="e">
        <f>+'VAL. PRINC'!#REF!</f>
        <v>#REF!</v>
      </c>
      <c r="G348" s="2296"/>
    </row>
    <row r="349" spans="3:7" hidden="1">
      <c r="C349" s="1268" t="s">
        <v>2440</v>
      </c>
      <c r="D349" s="1241" t="s">
        <v>3146</v>
      </c>
      <c r="E349" s="1245" t="s">
        <v>37</v>
      </c>
      <c r="F349" s="2317" t="e">
        <f>+'VAL. PRINC'!#REF!</f>
        <v>#REF!</v>
      </c>
      <c r="G349" s="2296"/>
    </row>
    <row r="350" spans="3:7" hidden="1">
      <c r="C350" s="1263" t="s">
        <v>1002</v>
      </c>
      <c r="D350" s="1264" t="s">
        <v>3147</v>
      </c>
      <c r="E350" s="1265"/>
      <c r="F350" s="2317"/>
      <c r="G350" s="2296"/>
    </row>
    <row r="351" spans="3:7" hidden="1">
      <c r="C351" s="1272" t="s">
        <v>1003</v>
      </c>
      <c r="D351" s="1262" t="s">
        <v>3148</v>
      </c>
      <c r="E351" s="1273"/>
      <c r="F351" s="2317"/>
      <c r="G351" s="2296"/>
    </row>
    <row r="352" spans="3:7" hidden="1">
      <c r="C352" s="1268" t="s">
        <v>1004</v>
      </c>
      <c r="D352" s="1241" t="s">
        <v>3149</v>
      </c>
      <c r="E352" s="1245" t="s">
        <v>36</v>
      </c>
      <c r="F352" s="2317" t="e">
        <f>+'VAL. PRINC'!#REF!</f>
        <v>#REF!</v>
      </c>
      <c r="G352" s="2296"/>
    </row>
    <row r="353" spans="3:7" hidden="1">
      <c r="C353" s="1268" t="s">
        <v>2441</v>
      </c>
      <c r="D353" s="1241" t="s">
        <v>3150</v>
      </c>
      <c r="E353" s="1245" t="s">
        <v>36</v>
      </c>
      <c r="F353" s="2317" t="e">
        <f>+'VAL. PRINC'!#REF!</f>
        <v>#REF!</v>
      </c>
      <c r="G353" s="2296"/>
    </row>
    <row r="354" spans="3:7" hidden="1">
      <c r="C354" s="1268" t="s">
        <v>2442</v>
      </c>
      <c r="D354" s="1241" t="s">
        <v>3151</v>
      </c>
      <c r="E354" s="1245" t="s">
        <v>37</v>
      </c>
      <c r="F354" s="2317" t="e">
        <f>+'VAL. PRINC'!#REF!</f>
        <v>#REF!</v>
      </c>
      <c r="G354" s="2296"/>
    </row>
    <row r="355" spans="3:7" hidden="1">
      <c r="C355" s="1272" t="s">
        <v>1005</v>
      </c>
      <c r="D355" s="1262" t="s">
        <v>3152</v>
      </c>
      <c r="E355" s="1273"/>
      <c r="F355" s="2317"/>
      <c r="G355" s="2296"/>
    </row>
    <row r="356" spans="3:7" hidden="1">
      <c r="C356" s="1268" t="s">
        <v>1006</v>
      </c>
      <c r="D356" s="1241" t="s">
        <v>3153</v>
      </c>
      <c r="E356" s="1245" t="s">
        <v>37</v>
      </c>
      <c r="F356" s="2317" t="e">
        <f>+'VAL. PRINC'!#REF!</f>
        <v>#REF!</v>
      </c>
      <c r="G356" s="2296"/>
    </row>
    <row r="357" spans="3:7" hidden="1">
      <c r="C357" s="1268" t="s">
        <v>1007</v>
      </c>
      <c r="D357" s="1241" t="s">
        <v>3154</v>
      </c>
      <c r="E357" s="1245" t="s">
        <v>37</v>
      </c>
      <c r="F357" s="2317" t="e">
        <f>+'VAL. PRINC'!#REF!</f>
        <v>#REF!</v>
      </c>
      <c r="G357" s="2296"/>
    </row>
    <row r="358" spans="3:7" hidden="1">
      <c r="C358" s="1268" t="s">
        <v>2443</v>
      </c>
      <c r="D358" s="1241" t="s">
        <v>3155</v>
      </c>
      <c r="E358" s="1245" t="s">
        <v>37</v>
      </c>
      <c r="F358" s="2317" t="e">
        <f>+'VAL. PRINC'!#REF!</f>
        <v>#REF!</v>
      </c>
      <c r="G358" s="2296"/>
    </row>
    <row r="359" spans="3:7" hidden="1">
      <c r="C359" s="1268" t="s">
        <v>2444</v>
      </c>
      <c r="D359" s="1241" t="s">
        <v>3156</v>
      </c>
      <c r="E359" s="1245" t="s">
        <v>37</v>
      </c>
      <c r="F359" s="2317" t="e">
        <f>+'VAL. PRINC'!#REF!</f>
        <v>#REF!</v>
      </c>
      <c r="G359" s="2296"/>
    </row>
    <row r="360" spans="3:7" hidden="1">
      <c r="C360" s="1272" t="s">
        <v>1008</v>
      </c>
      <c r="D360" s="1262" t="s">
        <v>3157</v>
      </c>
      <c r="E360" s="1273"/>
      <c r="F360" s="2317"/>
      <c r="G360" s="2296"/>
    </row>
    <row r="361" spans="3:7" hidden="1">
      <c r="C361" s="1268" t="s">
        <v>1009</v>
      </c>
      <c r="D361" s="1241" t="s">
        <v>3158</v>
      </c>
      <c r="E361" s="1245" t="s">
        <v>38</v>
      </c>
      <c r="F361" s="2317" t="e">
        <f>+'VAL. PRINC'!#REF!</f>
        <v>#REF!</v>
      </c>
      <c r="G361" s="2296"/>
    </row>
    <row r="362" spans="3:7" hidden="1">
      <c r="C362" s="1268" t="s">
        <v>2445</v>
      </c>
      <c r="D362" s="1241" t="s">
        <v>3159</v>
      </c>
      <c r="E362" s="1245" t="s">
        <v>38</v>
      </c>
      <c r="F362" s="2317" t="e">
        <f>+'VAL. PRINC'!#REF!</f>
        <v>#REF!</v>
      </c>
      <c r="G362" s="2296"/>
    </row>
    <row r="363" spans="3:7" hidden="1">
      <c r="C363" s="1268" t="s">
        <v>2446</v>
      </c>
      <c r="D363" s="1241" t="s">
        <v>3160</v>
      </c>
      <c r="E363" s="1245" t="s">
        <v>38</v>
      </c>
      <c r="F363" s="2317" t="e">
        <f>+'VAL. PRINC'!#REF!</f>
        <v>#REF!</v>
      </c>
      <c r="G363" s="2296"/>
    </row>
    <row r="364" spans="3:7" hidden="1">
      <c r="C364" s="1268" t="s">
        <v>2447</v>
      </c>
      <c r="D364" s="1241" t="s">
        <v>3161</v>
      </c>
      <c r="E364" s="1245" t="s">
        <v>38</v>
      </c>
      <c r="F364" s="2317" t="e">
        <f>+'VAL. PRINC'!#REF!</f>
        <v>#REF!</v>
      </c>
      <c r="G364" s="2296"/>
    </row>
    <row r="365" spans="3:7" hidden="1">
      <c r="C365" s="1268" t="s">
        <v>2448</v>
      </c>
      <c r="D365" s="1241" t="s">
        <v>3162</v>
      </c>
      <c r="E365" s="1245" t="s">
        <v>38</v>
      </c>
      <c r="F365" s="2317" t="e">
        <f>+'VAL. PRINC'!#REF!</f>
        <v>#REF!</v>
      </c>
      <c r="G365" s="2296"/>
    </row>
    <row r="366" spans="3:7" hidden="1">
      <c r="C366" s="1268" t="s">
        <v>2449</v>
      </c>
      <c r="D366" s="1241" t="s">
        <v>3163</v>
      </c>
      <c r="E366" s="1245" t="s">
        <v>38</v>
      </c>
      <c r="F366" s="2317" t="e">
        <f>+'VAL. PRINC'!#REF!</f>
        <v>#REF!</v>
      </c>
      <c r="G366" s="2296"/>
    </row>
    <row r="367" spans="3:7" hidden="1">
      <c r="C367" s="1268" t="s">
        <v>2450</v>
      </c>
      <c r="D367" s="1241" t="s">
        <v>3164</v>
      </c>
      <c r="E367" s="1245" t="s">
        <v>38</v>
      </c>
      <c r="F367" s="2317" t="e">
        <f>+'VAL. PRINC'!#REF!</f>
        <v>#REF!</v>
      </c>
      <c r="G367" s="2296"/>
    </row>
    <row r="368" spans="3:7" hidden="1">
      <c r="C368" s="1268" t="s">
        <v>2451</v>
      </c>
      <c r="D368" s="1241" t="s">
        <v>3165</v>
      </c>
      <c r="E368" s="1245" t="s">
        <v>38</v>
      </c>
      <c r="F368" s="2317" t="e">
        <f>+'VAL. PRINC'!#REF!</f>
        <v>#REF!</v>
      </c>
      <c r="G368" s="2296"/>
    </row>
    <row r="369" spans="3:7" hidden="1">
      <c r="C369" s="1268" t="s">
        <v>2452</v>
      </c>
      <c r="D369" s="1241" t="s">
        <v>3166</v>
      </c>
      <c r="E369" s="1245" t="s">
        <v>38</v>
      </c>
      <c r="F369" s="2317" t="e">
        <f>+'VAL. PRINC'!#REF!</f>
        <v>#REF!</v>
      </c>
      <c r="G369" s="2296"/>
    </row>
    <row r="370" spans="3:7" hidden="1">
      <c r="C370" s="1272" t="s">
        <v>1010</v>
      </c>
      <c r="D370" s="1262" t="s">
        <v>3167</v>
      </c>
      <c r="E370" s="1273"/>
      <c r="F370" s="2317"/>
      <c r="G370" s="2296"/>
    </row>
    <row r="371" spans="3:7" hidden="1">
      <c r="C371" s="1268" t="s">
        <v>1011</v>
      </c>
      <c r="D371" s="1241" t="s">
        <v>3168</v>
      </c>
      <c r="E371" s="1245" t="s">
        <v>38</v>
      </c>
      <c r="F371" s="2317" t="e">
        <f>+'VAL. PRINC'!#REF!</f>
        <v>#REF!</v>
      </c>
      <c r="G371" s="2296"/>
    </row>
    <row r="372" spans="3:7" hidden="1">
      <c r="C372" s="1268" t="s">
        <v>2453</v>
      </c>
      <c r="D372" s="1241" t="s">
        <v>3169</v>
      </c>
      <c r="E372" s="1245" t="s">
        <v>38</v>
      </c>
      <c r="F372" s="2317" t="e">
        <f>+'VAL. PRINC'!#REF!</f>
        <v>#REF!</v>
      </c>
      <c r="G372" s="2296"/>
    </row>
    <row r="373" spans="3:7" hidden="1">
      <c r="C373" s="1268" t="s">
        <v>2454</v>
      </c>
      <c r="D373" s="1241" t="s">
        <v>3170</v>
      </c>
      <c r="E373" s="1245" t="s">
        <v>36</v>
      </c>
      <c r="F373" s="2317" t="e">
        <f>+'VAL. PRINC'!#REF!</f>
        <v>#REF!</v>
      </c>
      <c r="G373" s="2296"/>
    </row>
    <row r="374" spans="3:7" hidden="1">
      <c r="C374" s="1268" t="s">
        <v>2455</v>
      </c>
      <c r="D374" s="1241" t="s">
        <v>3171</v>
      </c>
      <c r="E374" s="1245" t="s">
        <v>36</v>
      </c>
      <c r="F374" s="2317" t="e">
        <f>+'VAL. PRINC'!#REF!</f>
        <v>#REF!</v>
      </c>
      <c r="G374" s="2296"/>
    </row>
    <row r="375" spans="3:7" hidden="1">
      <c r="C375" s="1268" t="s">
        <v>2456</v>
      </c>
      <c r="D375" s="1241" t="s">
        <v>3172</v>
      </c>
      <c r="E375" s="1245" t="s">
        <v>36</v>
      </c>
      <c r="F375" s="2317" t="e">
        <f>+'VAL. PRINC'!#REF!</f>
        <v>#REF!</v>
      </c>
      <c r="G375" s="2296"/>
    </row>
    <row r="376" spans="3:7" hidden="1">
      <c r="C376" s="1268" t="s">
        <v>2457</v>
      </c>
      <c r="D376" s="1241" t="s">
        <v>3173</v>
      </c>
      <c r="E376" s="1245" t="s">
        <v>36</v>
      </c>
      <c r="F376" s="2317" t="e">
        <f>+'VAL. PRINC'!#REF!</f>
        <v>#REF!</v>
      </c>
      <c r="G376" s="2296"/>
    </row>
    <row r="377" spans="3:7" hidden="1">
      <c r="C377" s="1268" t="s">
        <v>2458</v>
      </c>
      <c r="D377" s="1241" t="s">
        <v>3174</v>
      </c>
      <c r="E377" s="1245" t="s">
        <v>36</v>
      </c>
      <c r="F377" s="2317" t="e">
        <f>+'VAL. PRINC'!#REF!</f>
        <v>#REF!</v>
      </c>
      <c r="G377" s="2296"/>
    </row>
    <row r="378" spans="3:7" hidden="1">
      <c r="C378" s="1268" t="s">
        <v>2459</v>
      </c>
      <c r="D378" s="1241" t="s">
        <v>3175</v>
      </c>
      <c r="E378" s="1245" t="s">
        <v>36</v>
      </c>
      <c r="F378" s="2317" t="e">
        <f>+'VAL. PRINC'!#REF!</f>
        <v>#REF!</v>
      </c>
      <c r="G378" s="2296"/>
    </row>
    <row r="379" spans="3:7">
      <c r="C379" s="1263" t="s">
        <v>1012</v>
      </c>
      <c r="D379" s="1264" t="s">
        <v>3176</v>
      </c>
      <c r="E379" s="1265"/>
      <c r="F379" s="2317"/>
      <c r="G379" s="2296"/>
    </row>
    <row r="380" spans="3:7">
      <c r="C380" s="1268" t="s">
        <v>1013</v>
      </c>
      <c r="D380" s="1241" t="s">
        <v>3177</v>
      </c>
      <c r="E380" s="1245" t="s">
        <v>1451</v>
      </c>
      <c r="F380" s="2317" t="e">
        <f>+'VAL. PRINC'!#REF!</f>
        <v>#REF!</v>
      </c>
      <c r="G380" s="2296"/>
    </row>
    <row r="381" spans="3:7" hidden="1">
      <c r="C381" s="1268" t="s">
        <v>2460</v>
      </c>
      <c r="D381" s="1241" t="s">
        <v>3178</v>
      </c>
      <c r="E381" s="1245" t="s">
        <v>36</v>
      </c>
      <c r="F381" s="2317" t="e">
        <f>+'VAL. PRINC'!#REF!</f>
        <v>#REF!</v>
      </c>
      <c r="G381" s="2296"/>
    </row>
    <row r="382" spans="3:7" hidden="1">
      <c r="C382" s="1268" t="s">
        <v>2461</v>
      </c>
      <c r="D382" s="1241" t="s">
        <v>3179</v>
      </c>
      <c r="E382" s="1245" t="s">
        <v>36</v>
      </c>
      <c r="F382" s="2317" t="e">
        <f>+'VAL. PRINC'!#REF!</f>
        <v>#REF!</v>
      </c>
      <c r="G382" s="2296"/>
    </row>
    <row r="383" spans="3:7" hidden="1">
      <c r="C383" s="1268" t="s">
        <v>2462</v>
      </c>
      <c r="D383" s="1241" t="s">
        <v>3180</v>
      </c>
      <c r="E383" s="1245" t="s">
        <v>36</v>
      </c>
      <c r="F383" s="2317" t="e">
        <f>+'VAL. PRINC'!#REF!</f>
        <v>#REF!</v>
      </c>
      <c r="G383" s="2296"/>
    </row>
    <row r="384" spans="3:7" hidden="1">
      <c r="C384" s="1268" t="s">
        <v>2463</v>
      </c>
      <c r="D384" s="1241" t="s">
        <v>3181</v>
      </c>
      <c r="E384" s="1245" t="s">
        <v>36</v>
      </c>
      <c r="F384" s="2317" t="e">
        <f>+'VAL. PRINC'!#REF!</f>
        <v>#REF!</v>
      </c>
      <c r="G384" s="2296"/>
    </row>
    <row r="385" spans="3:7" hidden="1">
      <c r="C385" s="1268" t="s">
        <v>2464</v>
      </c>
      <c r="D385" s="1241" t="s">
        <v>3182</v>
      </c>
      <c r="E385" s="1245" t="s">
        <v>36</v>
      </c>
      <c r="F385" s="2317" t="e">
        <f>+'VAL. PRINC'!#REF!</f>
        <v>#REF!</v>
      </c>
      <c r="G385" s="2296"/>
    </row>
    <row r="386" spans="3:7" hidden="1">
      <c r="C386" s="1268" t="s">
        <v>2465</v>
      </c>
      <c r="D386" s="1241" t="s">
        <v>3183</v>
      </c>
      <c r="E386" s="1245" t="s">
        <v>36</v>
      </c>
      <c r="F386" s="2317" t="e">
        <f>+'VAL. PRINC'!#REF!</f>
        <v>#REF!</v>
      </c>
      <c r="G386" s="2296"/>
    </row>
    <row r="387" spans="3:7" hidden="1">
      <c r="C387" s="1268" t="s">
        <v>2466</v>
      </c>
      <c r="D387" s="1241" t="s">
        <v>3184</v>
      </c>
      <c r="E387" s="1245" t="s">
        <v>36</v>
      </c>
      <c r="F387" s="2317" t="e">
        <f>+'VAL. PRINC'!#REF!</f>
        <v>#REF!</v>
      </c>
      <c r="G387" s="2296"/>
    </row>
    <row r="388" spans="3:7" hidden="1">
      <c r="C388" s="1268" t="s">
        <v>2467</v>
      </c>
      <c r="D388" s="1241" t="s">
        <v>3185</v>
      </c>
      <c r="E388" s="1245" t="s">
        <v>36</v>
      </c>
      <c r="F388" s="2317" t="e">
        <f>+'VAL. PRINC'!#REF!</f>
        <v>#REF!</v>
      </c>
      <c r="G388" s="2296"/>
    </row>
    <row r="389" spans="3:7" hidden="1">
      <c r="C389" s="1268" t="s">
        <v>2468</v>
      </c>
      <c r="D389" s="1241" t="s">
        <v>3186</v>
      </c>
      <c r="E389" s="1245" t="s">
        <v>36</v>
      </c>
      <c r="F389" s="2317" t="e">
        <f>+'VAL. PRINC'!#REF!</f>
        <v>#REF!</v>
      </c>
      <c r="G389" s="2296"/>
    </row>
    <row r="390" spans="3:7" hidden="1">
      <c r="C390" s="1263" t="s">
        <v>2469</v>
      </c>
      <c r="D390" s="1264" t="s">
        <v>3187</v>
      </c>
      <c r="E390" s="1265"/>
      <c r="F390" s="2317"/>
      <c r="G390" s="2296"/>
    </row>
    <row r="391" spans="3:7" hidden="1">
      <c r="C391" s="1268" t="s">
        <v>2470</v>
      </c>
      <c r="D391" s="1241" t="s">
        <v>3188</v>
      </c>
      <c r="E391" s="1245" t="s">
        <v>37</v>
      </c>
      <c r="F391" s="2317" t="e">
        <f>+'VAL. PRINC'!#REF!</f>
        <v>#REF!</v>
      </c>
      <c r="G391" s="2296"/>
    </row>
    <row r="392" spans="3:7" hidden="1">
      <c r="C392" s="1268" t="s">
        <v>2471</v>
      </c>
      <c r="D392" s="1241" t="s">
        <v>3189</v>
      </c>
      <c r="E392" s="1245" t="s">
        <v>37</v>
      </c>
      <c r="F392" s="2317" t="e">
        <f>+'VAL. PRINC'!#REF!</f>
        <v>#REF!</v>
      </c>
      <c r="G392" s="2296"/>
    </row>
    <row r="393" spans="3:7" hidden="1">
      <c r="C393" s="1268" t="s">
        <v>2472</v>
      </c>
      <c r="D393" s="1241" t="s">
        <v>3190</v>
      </c>
      <c r="E393" s="1245" t="s">
        <v>36</v>
      </c>
      <c r="F393" s="2317" t="e">
        <f>+'VAL. PRINC'!#REF!</f>
        <v>#REF!</v>
      </c>
      <c r="G393" s="2296"/>
    </row>
    <row r="394" spans="3:7">
      <c r="C394" s="1263" t="s">
        <v>2473</v>
      </c>
      <c r="D394" s="1264" t="s">
        <v>3191</v>
      </c>
      <c r="E394" s="1265"/>
      <c r="F394" s="2317"/>
      <c r="G394" s="2296"/>
    </row>
    <row r="395" spans="3:7" hidden="1">
      <c r="C395" s="1268" t="s">
        <v>2474</v>
      </c>
      <c r="D395" s="1241" t="s">
        <v>3192</v>
      </c>
      <c r="E395" s="1245" t="s">
        <v>37</v>
      </c>
      <c r="F395" s="2317" t="e">
        <f>+'VAL. PRINC'!#REF!</f>
        <v>#REF!</v>
      </c>
      <c r="G395" s="2299"/>
    </row>
    <row r="396" spans="3:7" hidden="1">
      <c r="C396" s="1268" t="s">
        <v>2475</v>
      </c>
      <c r="D396" s="1241" t="s">
        <v>3193</v>
      </c>
      <c r="E396" s="1245" t="s">
        <v>37</v>
      </c>
      <c r="F396" s="2317" t="e">
        <f>+'VAL. PRINC'!#REF!</f>
        <v>#REF!</v>
      </c>
      <c r="G396" s="2299"/>
    </row>
    <row r="397" spans="3:7" hidden="1">
      <c r="C397" s="1268" t="s">
        <v>2476</v>
      </c>
      <c r="D397" s="1241" t="s">
        <v>3194</v>
      </c>
      <c r="E397" s="1245" t="s">
        <v>37</v>
      </c>
      <c r="F397" s="2317" t="e">
        <f>+'VAL. PRINC'!#REF!</f>
        <v>#REF!</v>
      </c>
      <c r="G397" s="2299"/>
    </row>
    <row r="398" spans="3:7" hidden="1">
      <c r="C398" s="1268" t="s">
        <v>2477</v>
      </c>
      <c r="D398" s="1241" t="s">
        <v>3195</v>
      </c>
      <c r="E398" s="1245" t="s">
        <v>37</v>
      </c>
      <c r="F398" s="2317" t="e">
        <f>+'VAL. PRINC'!#REF!</f>
        <v>#REF!</v>
      </c>
      <c r="G398" s="2299"/>
    </row>
    <row r="399" spans="3:7" hidden="1">
      <c r="C399" s="1268" t="s">
        <v>2478</v>
      </c>
      <c r="D399" s="1241" t="s">
        <v>3196</v>
      </c>
      <c r="E399" s="1245" t="s">
        <v>37</v>
      </c>
      <c r="F399" s="2317" t="e">
        <f>+'VAL. PRINC'!#REF!</f>
        <v>#REF!</v>
      </c>
      <c r="G399" s="2299"/>
    </row>
    <row r="400" spans="3:7" hidden="1">
      <c r="C400" s="1268" t="s">
        <v>2479</v>
      </c>
      <c r="D400" s="1241" t="s">
        <v>3197</v>
      </c>
      <c r="E400" s="1245" t="s">
        <v>37</v>
      </c>
      <c r="F400" s="2317" t="e">
        <f>+'VAL. PRINC'!#REF!</f>
        <v>#REF!</v>
      </c>
      <c r="G400" s="2296"/>
    </row>
    <row r="401" spans="3:7" hidden="1">
      <c r="C401" s="1268" t="s">
        <v>2480</v>
      </c>
      <c r="D401" s="1241" t="s">
        <v>3198</v>
      </c>
      <c r="E401" s="1245" t="s">
        <v>37</v>
      </c>
      <c r="F401" s="2317" t="e">
        <f>+'VAL. PRINC'!#REF!</f>
        <v>#REF!</v>
      </c>
      <c r="G401" s="2296"/>
    </row>
    <row r="402" spans="3:7" hidden="1">
      <c r="C402" s="1268" t="s">
        <v>2481</v>
      </c>
      <c r="D402" s="1241" t="s">
        <v>3199</v>
      </c>
      <c r="E402" s="1245" t="s">
        <v>37</v>
      </c>
      <c r="F402" s="2317" t="e">
        <f>+'VAL. PRINC'!#REF!</f>
        <v>#REF!</v>
      </c>
      <c r="G402" s="2296"/>
    </row>
    <row r="403" spans="3:7" hidden="1">
      <c r="C403" s="1268" t="s">
        <v>2482</v>
      </c>
      <c r="D403" s="1241" t="s">
        <v>3200</v>
      </c>
      <c r="E403" s="1245" t="s">
        <v>37</v>
      </c>
      <c r="F403" s="2317" t="e">
        <f>+'VAL. PRINC'!#REF!</f>
        <v>#REF!</v>
      </c>
      <c r="G403" s="2296"/>
    </row>
    <row r="404" spans="3:7" hidden="1">
      <c r="C404" s="1268" t="s">
        <v>2483</v>
      </c>
      <c r="D404" s="1241" t="s">
        <v>3201</v>
      </c>
      <c r="E404" s="1245" t="s">
        <v>37</v>
      </c>
      <c r="F404" s="2317" t="e">
        <f>+'VAL. PRINC'!#REF!</f>
        <v>#REF!</v>
      </c>
      <c r="G404" s="2296"/>
    </row>
    <row r="405" spans="3:7">
      <c r="C405" s="1268" t="s">
        <v>2484</v>
      </c>
      <c r="D405" s="1241" t="s">
        <v>3202</v>
      </c>
      <c r="E405" s="1245" t="s">
        <v>37</v>
      </c>
      <c r="F405" s="2317" t="e">
        <f>+'VAL. PRINC'!#REF!</f>
        <v>#REF!</v>
      </c>
      <c r="G405" s="2296"/>
    </row>
    <row r="406" spans="3:7" hidden="1">
      <c r="C406" s="1268" t="s">
        <v>2485</v>
      </c>
      <c r="D406" s="1241" t="s">
        <v>3203</v>
      </c>
      <c r="E406" s="1245" t="s">
        <v>37</v>
      </c>
      <c r="F406" s="2317" t="e">
        <f>+'VAL. PRINC'!#REF!</f>
        <v>#REF!</v>
      </c>
      <c r="G406" s="2296"/>
    </row>
    <row r="407" spans="3:7" hidden="1">
      <c r="C407" s="1268" t="s">
        <v>2486</v>
      </c>
      <c r="D407" s="1241" t="s">
        <v>3204</v>
      </c>
      <c r="E407" s="1245" t="s">
        <v>37</v>
      </c>
      <c r="F407" s="2317" t="e">
        <f>+'VAL. PRINC'!#REF!</f>
        <v>#REF!</v>
      </c>
      <c r="G407" s="2296"/>
    </row>
    <row r="408" spans="3:7" hidden="1">
      <c r="C408" s="1268" t="s">
        <v>2487</v>
      </c>
      <c r="D408" s="1241" t="s">
        <v>3205</v>
      </c>
      <c r="E408" s="1245" t="s">
        <v>37</v>
      </c>
      <c r="F408" s="2317" t="e">
        <f>+'VAL. PRINC'!#REF!</f>
        <v>#REF!</v>
      </c>
      <c r="G408" s="2296"/>
    </row>
    <row r="409" spans="3:7" hidden="1">
      <c r="C409" s="1263" t="s">
        <v>2488</v>
      </c>
      <c r="D409" s="1264" t="s">
        <v>3206</v>
      </c>
      <c r="E409" s="1265"/>
      <c r="F409" s="2317"/>
      <c r="G409" s="2296"/>
    </row>
    <row r="410" spans="3:7" hidden="1">
      <c r="C410" s="1268" t="s">
        <v>2489</v>
      </c>
      <c r="D410" s="1241" t="s">
        <v>3207</v>
      </c>
      <c r="E410" s="1245" t="s">
        <v>40</v>
      </c>
      <c r="F410" s="2317" t="e">
        <f>+'VAL. PRINC'!#REF!</f>
        <v>#REF!</v>
      </c>
      <c r="G410" s="2296"/>
    </row>
    <row r="411" spans="3:7" hidden="1">
      <c r="C411" s="1268" t="s">
        <v>2490</v>
      </c>
      <c r="D411" s="1241" t="s">
        <v>3208</v>
      </c>
      <c r="E411" s="1245" t="s">
        <v>37</v>
      </c>
      <c r="F411" s="2317" t="e">
        <f>+'VAL. PRINC'!#REF!</f>
        <v>#REF!</v>
      </c>
      <c r="G411" s="2296"/>
    </row>
    <row r="412" spans="3:7" hidden="1">
      <c r="C412" s="1268" t="s">
        <v>2491</v>
      </c>
      <c r="D412" s="1241" t="s">
        <v>3209</v>
      </c>
      <c r="E412" s="1245" t="s">
        <v>41</v>
      </c>
      <c r="F412" s="2317" t="e">
        <f>+'VAL. PRINC'!#REF!</f>
        <v>#REF!</v>
      </c>
      <c r="G412" s="2296"/>
    </row>
    <row r="413" spans="3:7" hidden="1">
      <c r="C413" s="1263" t="s">
        <v>2492</v>
      </c>
      <c r="D413" s="1264" t="s">
        <v>3210</v>
      </c>
      <c r="E413" s="1265"/>
      <c r="F413" s="2317"/>
      <c r="G413" s="2296"/>
    </row>
    <row r="414" spans="3:7" hidden="1">
      <c r="C414" s="1268" t="s">
        <v>2493</v>
      </c>
      <c r="D414" s="1241" t="s">
        <v>3211</v>
      </c>
      <c r="E414" s="1245" t="s">
        <v>36</v>
      </c>
      <c r="F414" s="2317" t="e">
        <f>+'VAL. PRINC'!#REF!</f>
        <v>#REF!</v>
      </c>
      <c r="G414" s="2296"/>
    </row>
    <row r="415" spans="3:7" hidden="1">
      <c r="C415" s="1268" t="s">
        <v>2494</v>
      </c>
      <c r="D415" s="1241" t="s">
        <v>3212</v>
      </c>
      <c r="E415" s="1245" t="s">
        <v>36</v>
      </c>
      <c r="F415" s="2317" t="e">
        <f>+'VAL. PRINC'!#REF!</f>
        <v>#REF!</v>
      </c>
      <c r="G415" s="2296"/>
    </row>
    <row r="416" spans="3:7" hidden="1">
      <c r="C416" s="1268" t="s">
        <v>2495</v>
      </c>
      <c r="D416" s="1241" t="s">
        <v>3213</v>
      </c>
      <c r="E416" s="1245" t="s">
        <v>36</v>
      </c>
      <c r="F416" s="2317" t="e">
        <f>+'VAL. PRINC'!#REF!</f>
        <v>#REF!</v>
      </c>
      <c r="G416" s="2296"/>
    </row>
    <row r="417" spans="3:7" hidden="1">
      <c r="C417" s="1268" t="s">
        <v>2496</v>
      </c>
      <c r="D417" s="1241" t="s">
        <v>3214</v>
      </c>
      <c r="E417" s="1245" t="s">
        <v>36</v>
      </c>
      <c r="F417" s="2317" t="e">
        <f>+'VAL. PRINC'!#REF!</f>
        <v>#REF!</v>
      </c>
      <c r="G417" s="2296"/>
    </row>
    <row r="418" spans="3:7" hidden="1">
      <c r="C418" s="1268" t="s">
        <v>2497</v>
      </c>
      <c r="D418" s="1241" t="s">
        <v>3215</v>
      </c>
      <c r="E418" s="1245" t="s">
        <v>36</v>
      </c>
      <c r="F418" s="2317" t="e">
        <f>+'VAL. PRINC'!#REF!</f>
        <v>#REF!</v>
      </c>
      <c r="G418" s="2296"/>
    </row>
    <row r="419" spans="3:7" hidden="1">
      <c r="C419" s="1268" t="s">
        <v>2498</v>
      </c>
      <c r="D419" s="1241" t="s">
        <v>3216</v>
      </c>
      <c r="E419" s="1245" t="s">
        <v>36</v>
      </c>
      <c r="F419" s="2317" t="e">
        <f>+'VAL. PRINC'!#REF!</f>
        <v>#REF!</v>
      </c>
      <c r="G419" s="2296"/>
    </row>
    <row r="420" spans="3:7" hidden="1">
      <c r="C420" s="1263" t="s">
        <v>2499</v>
      </c>
      <c r="D420" s="1264" t="s">
        <v>3217</v>
      </c>
      <c r="E420" s="1265"/>
      <c r="F420" s="2317"/>
      <c r="G420" s="2296"/>
    </row>
    <row r="421" spans="3:7" hidden="1">
      <c r="C421" s="1268" t="s">
        <v>2500</v>
      </c>
      <c r="D421" s="1241" t="s">
        <v>3218</v>
      </c>
      <c r="E421" s="1245" t="s">
        <v>38</v>
      </c>
      <c r="F421" s="2317" t="e">
        <f>+'VAL. PRINC'!#REF!</f>
        <v>#REF!</v>
      </c>
      <c r="G421" s="2296"/>
    </row>
    <row r="422" spans="3:7" hidden="1">
      <c r="C422" s="1268" t="s">
        <v>2501</v>
      </c>
      <c r="D422" s="1241" t="s">
        <v>3219</v>
      </c>
      <c r="E422" s="1245" t="s">
        <v>38</v>
      </c>
      <c r="F422" s="2317" t="e">
        <f>+'VAL. PRINC'!#REF!</f>
        <v>#REF!</v>
      </c>
      <c r="G422" s="2296"/>
    </row>
    <row r="423" spans="3:7" hidden="1">
      <c r="C423" s="1268" t="s">
        <v>2502</v>
      </c>
      <c r="D423" s="1241" t="s">
        <v>3220</v>
      </c>
      <c r="E423" s="1245" t="s">
        <v>38</v>
      </c>
      <c r="F423" s="2317" t="e">
        <f>+'VAL. PRINC'!#REF!</f>
        <v>#REF!</v>
      </c>
      <c r="G423" s="2296"/>
    </row>
    <row r="424" spans="3:7" hidden="1">
      <c r="C424" s="1268" t="s">
        <v>2503</v>
      </c>
      <c r="D424" s="1241" t="s">
        <v>3221</v>
      </c>
      <c r="E424" s="1245" t="s">
        <v>38</v>
      </c>
      <c r="F424" s="2317" t="e">
        <f>+'VAL. PRINC'!#REF!</f>
        <v>#REF!</v>
      </c>
      <c r="G424" s="2296"/>
    </row>
    <row r="425" spans="3:7" hidden="1">
      <c r="C425" s="1268" t="s">
        <v>2504</v>
      </c>
      <c r="D425" s="1241" t="s">
        <v>3222</v>
      </c>
      <c r="E425" s="1245" t="s">
        <v>38</v>
      </c>
      <c r="F425" s="2317" t="e">
        <f>+'VAL. PRINC'!#REF!</f>
        <v>#REF!</v>
      </c>
      <c r="G425" s="2296"/>
    </row>
    <row r="426" spans="3:7">
      <c r="C426" s="1263" t="s">
        <v>2505</v>
      </c>
      <c r="D426" s="1264" t="s">
        <v>3070</v>
      </c>
      <c r="E426" s="1265"/>
      <c r="F426" s="2317"/>
      <c r="G426" s="2296"/>
    </row>
    <row r="427" spans="3:7">
      <c r="C427" s="1268" t="s">
        <v>2506</v>
      </c>
      <c r="D427" s="1241" t="s">
        <v>3223</v>
      </c>
      <c r="E427" s="1245" t="s">
        <v>40</v>
      </c>
      <c r="F427" s="2317" t="e">
        <f>+'VAL. PRINC'!#REF!</f>
        <v>#REF!</v>
      </c>
      <c r="G427" s="2296"/>
    </row>
    <row r="428" spans="3:7" hidden="1">
      <c r="C428" s="1268" t="s">
        <v>2507</v>
      </c>
      <c r="D428" s="1241" t="s">
        <v>3224</v>
      </c>
      <c r="E428" s="1245" t="s">
        <v>38</v>
      </c>
      <c r="F428" s="2317" t="e">
        <f>+'VAL. PRINC'!#REF!</f>
        <v>#REF!</v>
      </c>
      <c r="G428" s="2296"/>
    </row>
    <row r="429" spans="3:7" hidden="1">
      <c r="C429" s="1268" t="s">
        <v>2508</v>
      </c>
      <c r="D429" s="1241" t="s">
        <v>3225</v>
      </c>
      <c r="E429" s="1245" t="s">
        <v>36</v>
      </c>
      <c r="F429" s="2317" t="e">
        <f>+'VAL. PRINC'!#REF!</f>
        <v>#REF!</v>
      </c>
      <c r="G429" s="2296"/>
    </row>
    <row r="430" spans="3:7" hidden="1">
      <c r="C430" s="1268" t="s">
        <v>2509</v>
      </c>
      <c r="D430" s="1241" t="s">
        <v>3226</v>
      </c>
      <c r="E430" s="1245" t="s">
        <v>37</v>
      </c>
      <c r="F430" s="2317" t="e">
        <f>+'VAL. PRINC'!#REF!</f>
        <v>#REF!</v>
      </c>
      <c r="G430" s="2296"/>
    </row>
    <row r="431" spans="3:7" hidden="1">
      <c r="C431" s="1268" t="s">
        <v>2510</v>
      </c>
      <c r="D431" s="1241" t="s">
        <v>3227</v>
      </c>
      <c r="E431" s="1245" t="s">
        <v>40</v>
      </c>
      <c r="F431" s="2317" t="e">
        <f>+'VAL. PRINC'!#REF!</f>
        <v>#REF!</v>
      </c>
      <c r="G431" s="2296"/>
    </row>
    <row r="432" spans="3:7" hidden="1">
      <c r="C432" s="1268" t="s">
        <v>2511</v>
      </c>
      <c r="D432" s="1241" t="s">
        <v>3228</v>
      </c>
      <c r="E432" s="1245" t="s">
        <v>40</v>
      </c>
      <c r="F432" s="2317" t="e">
        <f>+'VAL. PRINC'!#REF!</f>
        <v>#REF!</v>
      </c>
      <c r="G432" s="2296"/>
    </row>
    <row r="433" spans="3:7" hidden="1">
      <c r="C433" s="1268" t="s">
        <v>2512</v>
      </c>
      <c r="D433" s="1241" t="s">
        <v>3229</v>
      </c>
      <c r="E433" s="1245" t="s">
        <v>40</v>
      </c>
      <c r="F433" s="2317" t="e">
        <f>+'VAL. PRINC'!#REF!</f>
        <v>#REF!</v>
      </c>
      <c r="G433" s="2296"/>
    </row>
    <row r="434" spans="3:7" hidden="1">
      <c r="C434" s="1268" t="s">
        <v>2513</v>
      </c>
      <c r="D434" s="1241" t="s">
        <v>3230</v>
      </c>
      <c r="E434" s="1245" t="s">
        <v>36</v>
      </c>
      <c r="F434" s="2317" t="e">
        <f>+'VAL. PRINC'!#REF!</f>
        <v>#REF!</v>
      </c>
      <c r="G434" s="2296"/>
    </row>
    <row r="435" spans="3:7" hidden="1">
      <c r="C435" s="1268" t="s">
        <v>2514</v>
      </c>
      <c r="D435" s="1241" t="s">
        <v>3231</v>
      </c>
      <c r="E435" s="1245" t="s">
        <v>36</v>
      </c>
      <c r="F435" s="2317" t="e">
        <f>+'VAL. PRINC'!#REF!</f>
        <v>#REF!</v>
      </c>
      <c r="G435" s="2296"/>
    </row>
    <row r="436" spans="3:7" hidden="1">
      <c r="C436" s="1268" t="s">
        <v>2515</v>
      </c>
      <c r="D436" s="1241" t="s">
        <v>3232</v>
      </c>
      <c r="E436" s="1245" t="s">
        <v>36</v>
      </c>
      <c r="F436" s="2317" t="e">
        <f>+'VAL. PRINC'!#REF!</f>
        <v>#REF!</v>
      </c>
      <c r="G436" s="2296"/>
    </row>
    <row r="437" spans="3:7">
      <c r="C437" s="1568" t="s">
        <v>488</v>
      </c>
      <c r="D437" s="1270" t="s">
        <v>1327</v>
      </c>
      <c r="E437" s="1271"/>
      <c r="F437" s="2317"/>
      <c r="G437" s="2296"/>
    </row>
    <row r="438" spans="3:7" hidden="1">
      <c r="C438" s="1263" t="s">
        <v>489</v>
      </c>
      <c r="D438" s="1264" t="s">
        <v>3233</v>
      </c>
      <c r="E438" s="1265"/>
      <c r="F438" s="2317"/>
      <c r="G438" s="2296"/>
    </row>
    <row r="439" spans="3:7" hidden="1">
      <c r="C439" s="1272" t="s">
        <v>490</v>
      </c>
      <c r="D439" s="1262" t="s">
        <v>3234</v>
      </c>
      <c r="E439" s="1273"/>
      <c r="F439" s="2317"/>
      <c r="G439" s="2296"/>
    </row>
    <row r="440" spans="3:7" hidden="1">
      <c r="C440" s="1268" t="s">
        <v>2516</v>
      </c>
      <c r="D440" s="1241" t="s">
        <v>3235</v>
      </c>
      <c r="E440" s="1245" t="s">
        <v>36</v>
      </c>
      <c r="F440" s="2317" t="e">
        <f>+'VAL. PRINC'!#REF!</f>
        <v>#REF!</v>
      </c>
      <c r="G440" s="2296"/>
    </row>
    <row r="441" spans="3:7" hidden="1">
      <c r="C441" s="1268" t="s">
        <v>2517</v>
      </c>
      <c r="D441" s="1241" t="s">
        <v>3236</v>
      </c>
      <c r="E441" s="1245" t="s">
        <v>36</v>
      </c>
      <c r="F441" s="2317" t="e">
        <f>+'VAL. PRINC'!#REF!</f>
        <v>#REF!</v>
      </c>
      <c r="G441" s="2296"/>
    </row>
    <row r="442" spans="3:7" hidden="1">
      <c r="C442" s="1268" t="s">
        <v>2518</v>
      </c>
      <c r="D442" s="1241" t="s">
        <v>3237</v>
      </c>
      <c r="E442" s="1245" t="s">
        <v>36</v>
      </c>
      <c r="F442" s="2317" t="e">
        <f>+'VAL. PRINC'!#REF!</f>
        <v>#REF!</v>
      </c>
      <c r="G442" s="2296"/>
    </row>
    <row r="443" spans="3:7" hidden="1">
      <c r="C443" s="1268" t="s">
        <v>2519</v>
      </c>
      <c r="D443" s="1241" t="s">
        <v>3238</v>
      </c>
      <c r="E443" s="1245" t="s">
        <v>36</v>
      </c>
      <c r="F443" s="2317" t="e">
        <f>+'VAL. PRINC'!#REF!</f>
        <v>#REF!</v>
      </c>
      <c r="G443" s="2296"/>
    </row>
    <row r="444" spans="3:7" hidden="1">
      <c r="C444" s="1268" t="s">
        <v>2520</v>
      </c>
      <c r="D444" s="1241" t="s">
        <v>3239</v>
      </c>
      <c r="E444" s="1245" t="s">
        <v>36</v>
      </c>
      <c r="F444" s="2317" t="e">
        <f>+'VAL. PRINC'!#REF!</f>
        <v>#REF!</v>
      </c>
      <c r="G444" s="2296"/>
    </row>
    <row r="445" spans="3:7" hidden="1">
      <c r="C445" s="1268" t="s">
        <v>2521</v>
      </c>
      <c r="D445" s="1241" t="s">
        <v>3240</v>
      </c>
      <c r="E445" s="1245" t="s">
        <v>36</v>
      </c>
      <c r="F445" s="2317" t="e">
        <f>+'VAL. PRINC'!#REF!</f>
        <v>#REF!</v>
      </c>
      <c r="G445" s="2296"/>
    </row>
    <row r="446" spans="3:7" hidden="1">
      <c r="C446" s="1268" t="s">
        <v>2522</v>
      </c>
      <c r="D446" s="1241" t="s">
        <v>3241</v>
      </c>
      <c r="E446" s="1245" t="s">
        <v>36</v>
      </c>
      <c r="F446" s="2317" t="e">
        <f>+'VAL. PRINC'!#REF!</f>
        <v>#REF!</v>
      </c>
      <c r="G446" s="2296"/>
    </row>
    <row r="447" spans="3:7" hidden="1">
      <c r="C447" s="1272" t="s">
        <v>491</v>
      </c>
      <c r="D447" s="1262" t="s">
        <v>3242</v>
      </c>
      <c r="E447" s="1273"/>
      <c r="F447" s="2317"/>
      <c r="G447" s="2296"/>
    </row>
    <row r="448" spans="3:7" hidden="1">
      <c r="C448" s="1268" t="s">
        <v>2523</v>
      </c>
      <c r="D448" s="1241" t="s">
        <v>3243</v>
      </c>
      <c r="E448" s="1245" t="s">
        <v>36</v>
      </c>
      <c r="F448" s="2317" t="e">
        <f>+'VAL. PRINC'!#REF!</f>
        <v>#REF!</v>
      </c>
      <c r="G448" s="2296"/>
    </row>
    <row r="449" spans="3:7" hidden="1">
      <c r="C449" s="1268" t="s">
        <v>2524</v>
      </c>
      <c r="D449" s="1241" t="s">
        <v>3244</v>
      </c>
      <c r="E449" s="1245" t="s">
        <v>36</v>
      </c>
      <c r="F449" s="2317" t="e">
        <f>+'VAL. PRINC'!#REF!</f>
        <v>#REF!</v>
      </c>
      <c r="G449" s="2296"/>
    </row>
    <row r="450" spans="3:7" hidden="1">
      <c r="C450" s="1268" t="s">
        <v>2525</v>
      </c>
      <c r="D450" s="1241" t="s">
        <v>3245</v>
      </c>
      <c r="E450" s="1245" t="s">
        <v>36</v>
      </c>
      <c r="F450" s="2317" t="e">
        <f>+'VAL. PRINC'!#REF!</f>
        <v>#REF!</v>
      </c>
      <c r="G450" s="2296"/>
    </row>
    <row r="451" spans="3:7" hidden="1">
      <c r="C451" s="1268" t="s">
        <v>2526</v>
      </c>
      <c r="D451" s="1241" t="s">
        <v>3246</v>
      </c>
      <c r="E451" s="1245" t="s">
        <v>36</v>
      </c>
      <c r="F451" s="2317" t="e">
        <f>+'VAL. PRINC'!#REF!</f>
        <v>#REF!</v>
      </c>
      <c r="G451" s="2296"/>
    </row>
    <row r="452" spans="3:7" hidden="1">
      <c r="C452" s="1268" t="s">
        <v>2527</v>
      </c>
      <c r="D452" s="1241" t="s">
        <v>3247</v>
      </c>
      <c r="E452" s="1245" t="s">
        <v>36</v>
      </c>
      <c r="F452" s="2317" t="e">
        <f>+'VAL. PRINC'!#REF!</f>
        <v>#REF!</v>
      </c>
      <c r="G452" s="2296"/>
    </row>
    <row r="453" spans="3:7" hidden="1">
      <c r="C453" s="1268" t="s">
        <v>2528</v>
      </c>
      <c r="D453" s="1241" t="s">
        <v>3248</v>
      </c>
      <c r="E453" s="1245" t="s">
        <v>36</v>
      </c>
      <c r="F453" s="2317" t="e">
        <f>+'VAL. PRINC'!#REF!</f>
        <v>#REF!</v>
      </c>
      <c r="G453" s="2296"/>
    </row>
    <row r="454" spans="3:7" hidden="1">
      <c r="C454" s="1268" t="s">
        <v>2529</v>
      </c>
      <c r="D454" s="1241" t="s">
        <v>3249</v>
      </c>
      <c r="E454" s="1245" t="s">
        <v>36</v>
      </c>
      <c r="F454" s="2317" t="e">
        <f>+'VAL. PRINC'!#REF!</f>
        <v>#REF!</v>
      </c>
      <c r="G454" s="2296"/>
    </row>
    <row r="455" spans="3:7" hidden="1">
      <c r="C455" s="1268" t="s">
        <v>2530</v>
      </c>
      <c r="D455" s="1241" t="s">
        <v>3250</v>
      </c>
      <c r="E455" s="1245" t="s">
        <v>36</v>
      </c>
      <c r="F455" s="2317" t="e">
        <f>+'VAL. PRINC'!#REF!</f>
        <v>#REF!</v>
      </c>
      <c r="G455" s="2296"/>
    </row>
    <row r="456" spans="3:7" hidden="1">
      <c r="C456" s="1268" t="s">
        <v>2531</v>
      </c>
      <c r="D456" s="1241" t="s">
        <v>3251</v>
      </c>
      <c r="E456" s="1245" t="s">
        <v>36</v>
      </c>
      <c r="F456" s="2317" t="e">
        <f>+'VAL. PRINC'!#REF!</f>
        <v>#REF!</v>
      </c>
      <c r="G456" s="2296"/>
    </row>
    <row r="457" spans="3:7" hidden="1">
      <c r="C457" s="1268" t="s">
        <v>2532</v>
      </c>
      <c r="D457" s="1241" t="s">
        <v>3252</v>
      </c>
      <c r="E457" s="1245" t="s">
        <v>36</v>
      </c>
      <c r="F457" s="2317" t="e">
        <f>+'VAL. PRINC'!#REF!</f>
        <v>#REF!</v>
      </c>
      <c r="G457" s="2296"/>
    </row>
    <row r="458" spans="3:7" hidden="1">
      <c r="C458" s="1268" t="s">
        <v>2533</v>
      </c>
      <c r="D458" s="1241" t="s">
        <v>3253</v>
      </c>
      <c r="E458" s="1245" t="s">
        <v>36</v>
      </c>
      <c r="F458" s="2317" t="e">
        <f>+'VAL. PRINC'!#REF!</f>
        <v>#REF!</v>
      </c>
      <c r="G458" s="2296"/>
    </row>
    <row r="459" spans="3:7" hidden="1">
      <c r="C459" s="1268" t="s">
        <v>2534</v>
      </c>
      <c r="D459" s="1241" t="s">
        <v>3254</v>
      </c>
      <c r="E459" s="1245" t="s">
        <v>36</v>
      </c>
      <c r="F459" s="2317" t="e">
        <f>+'VAL. PRINC'!#REF!</f>
        <v>#REF!</v>
      </c>
      <c r="G459" s="2296"/>
    </row>
    <row r="460" spans="3:7" hidden="1">
      <c r="C460" s="1268" t="s">
        <v>2535</v>
      </c>
      <c r="D460" s="1241" t="s">
        <v>3255</v>
      </c>
      <c r="E460" s="1245" t="s">
        <v>36</v>
      </c>
      <c r="F460" s="2317" t="e">
        <f>+'VAL. PRINC'!#REF!</f>
        <v>#REF!</v>
      </c>
      <c r="G460" s="2296"/>
    </row>
    <row r="461" spans="3:7" hidden="1">
      <c r="C461" s="1268" t="s">
        <v>2536</v>
      </c>
      <c r="D461" s="1241" t="s">
        <v>3256</v>
      </c>
      <c r="E461" s="1245" t="s">
        <v>36</v>
      </c>
      <c r="F461" s="2317" t="e">
        <f>+'VAL. PRINC'!#REF!</f>
        <v>#REF!</v>
      </c>
      <c r="G461" s="2296"/>
    </row>
    <row r="462" spans="3:7" hidden="1">
      <c r="C462" s="1268" t="s">
        <v>2537</v>
      </c>
      <c r="D462" s="1241" t="s">
        <v>3257</v>
      </c>
      <c r="E462" s="1245" t="s">
        <v>36</v>
      </c>
      <c r="F462" s="2317" t="e">
        <f>+'VAL. PRINC'!#REF!</f>
        <v>#REF!</v>
      </c>
      <c r="G462" s="2296"/>
    </row>
    <row r="463" spans="3:7" hidden="1">
      <c r="C463" s="1268" t="s">
        <v>2538</v>
      </c>
      <c r="D463" s="1241" t="s">
        <v>3258</v>
      </c>
      <c r="E463" s="1245" t="s">
        <v>36</v>
      </c>
      <c r="F463" s="2317" t="e">
        <f>+'VAL. PRINC'!#REF!</f>
        <v>#REF!</v>
      </c>
      <c r="G463" s="2296"/>
    </row>
    <row r="464" spans="3:7" hidden="1">
      <c r="C464" s="1268" t="s">
        <v>2539</v>
      </c>
      <c r="D464" s="1241" t="s">
        <v>3259</v>
      </c>
      <c r="E464" s="1245" t="s">
        <v>36</v>
      </c>
      <c r="F464" s="2317" t="e">
        <f>+'VAL. PRINC'!#REF!</f>
        <v>#REF!</v>
      </c>
      <c r="G464" s="2296"/>
    </row>
    <row r="465" spans="3:7" hidden="1">
      <c r="C465" s="1268" t="s">
        <v>2540</v>
      </c>
      <c r="D465" s="1241" t="s">
        <v>3260</v>
      </c>
      <c r="E465" s="1245" t="s">
        <v>36</v>
      </c>
      <c r="F465" s="2317" t="e">
        <f>+'VAL. PRINC'!#REF!</f>
        <v>#REF!</v>
      </c>
      <c r="G465" s="2296"/>
    </row>
    <row r="466" spans="3:7" hidden="1">
      <c r="C466" s="1268" t="s">
        <v>2541</v>
      </c>
      <c r="D466" s="1241" t="s">
        <v>3261</v>
      </c>
      <c r="E466" s="1245" t="s">
        <v>36</v>
      </c>
      <c r="F466" s="2317" t="e">
        <f>+'VAL. PRINC'!#REF!</f>
        <v>#REF!</v>
      </c>
      <c r="G466" s="2296"/>
    </row>
    <row r="467" spans="3:7" hidden="1">
      <c r="C467" s="1268" t="s">
        <v>2542</v>
      </c>
      <c r="D467" s="1241" t="s">
        <v>3262</v>
      </c>
      <c r="E467" s="1245" t="s">
        <v>36</v>
      </c>
      <c r="F467" s="2317" t="e">
        <f>+'VAL. PRINC'!#REF!</f>
        <v>#REF!</v>
      </c>
      <c r="G467" s="2296"/>
    </row>
    <row r="468" spans="3:7" hidden="1">
      <c r="C468" s="1268" t="s">
        <v>2543</v>
      </c>
      <c r="D468" s="1241" t="s">
        <v>3263</v>
      </c>
      <c r="E468" s="1245" t="s">
        <v>36</v>
      </c>
      <c r="F468" s="2317" t="e">
        <f>+'VAL. PRINC'!#REF!</f>
        <v>#REF!</v>
      </c>
      <c r="G468" s="2296"/>
    </row>
    <row r="469" spans="3:7" hidden="1">
      <c r="C469" s="1272" t="s">
        <v>492</v>
      </c>
      <c r="D469" s="1262" t="s">
        <v>3264</v>
      </c>
      <c r="E469" s="1273"/>
      <c r="F469" s="2317" t="e">
        <f>+'VAL. PRINC'!#REF!</f>
        <v>#REF!</v>
      </c>
      <c r="G469" s="2296"/>
    </row>
    <row r="470" spans="3:7" hidden="1">
      <c r="C470" s="1268" t="s">
        <v>2544</v>
      </c>
      <c r="D470" s="1241" t="s">
        <v>3265</v>
      </c>
      <c r="E470" s="1245" t="s">
        <v>36</v>
      </c>
      <c r="F470" s="2317" t="e">
        <f>+'VAL. PRINC'!#REF!</f>
        <v>#REF!</v>
      </c>
      <c r="G470" s="2296"/>
    </row>
    <row r="471" spans="3:7" hidden="1">
      <c r="C471" s="1272" t="s">
        <v>1017</v>
      </c>
      <c r="D471" s="1262" t="s">
        <v>3266</v>
      </c>
      <c r="E471" s="1273"/>
      <c r="F471" s="2317" t="e">
        <f>+'VAL. PRINC'!#REF!</f>
        <v>#REF!</v>
      </c>
      <c r="G471" s="2296"/>
    </row>
    <row r="472" spans="3:7" hidden="1">
      <c r="C472" s="1268" t="s">
        <v>2545</v>
      </c>
      <c r="D472" s="1241" t="s">
        <v>3267</v>
      </c>
      <c r="E472" s="1245" t="s">
        <v>36</v>
      </c>
      <c r="F472" s="2317" t="e">
        <f>+'VAL. PRINC'!#REF!</f>
        <v>#REF!</v>
      </c>
      <c r="G472" s="2296"/>
    </row>
    <row r="473" spans="3:7">
      <c r="C473" s="1263" t="s">
        <v>493</v>
      </c>
      <c r="D473" s="1264" t="s">
        <v>3268</v>
      </c>
      <c r="E473" s="1265"/>
      <c r="F473" s="2317"/>
      <c r="G473" s="2296"/>
    </row>
    <row r="474" spans="3:7" hidden="1">
      <c r="C474" s="1272" t="s">
        <v>494</v>
      </c>
      <c r="D474" s="1262" t="s">
        <v>3269</v>
      </c>
      <c r="E474" s="1273"/>
      <c r="F474" s="2317" t="e">
        <f>+'VAL. PRINC'!#REF!</f>
        <v>#REF!</v>
      </c>
      <c r="G474" s="2296"/>
    </row>
    <row r="475" spans="3:7" hidden="1">
      <c r="C475" s="1268" t="s">
        <v>2546</v>
      </c>
      <c r="D475" s="1241" t="s">
        <v>3270</v>
      </c>
      <c r="E475" s="1245" t="s">
        <v>1452</v>
      </c>
      <c r="F475" s="2317" t="e">
        <f>+'VAL. PRINC'!#REF!</f>
        <v>#REF!</v>
      </c>
      <c r="G475" s="2296"/>
    </row>
    <row r="476" spans="3:7" hidden="1">
      <c r="C476" s="1268" t="s">
        <v>2547</v>
      </c>
      <c r="D476" s="1241" t="s">
        <v>3271</v>
      </c>
      <c r="E476" s="1245" t="s">
        <v>1452</v>
      </c>
      <c r="F476" s="2317" t="e">
        <f>+'VAL. PRINC'!#REF!</f>
        <v>#REF!</v>
      </c>
      <c r="G476" s="2296"/>
    </row>
    <row r="477" spans="3:7">
      <c r="C477" s="1272" t="s">
        <v>495</v>
      </c>
      <c r="D477" s="1262" t="s">
        <v>3272</v>
      </c>
      <c r="E477" s="1273"/>
      <c r="F477" s="2317"/>
      <c r="G477" s="2296"/>
    </row>
    <row r="478" spans="3:7" hidden="1">
      <c r="C478" s="1268" t="s">
        <v>2548</v>
      </c>
      <c r="D478" s="1241" t="s">
        <v>3273</v>
      </c>
      <c r="E478" s="1245" t="s">
        <v>38</v>
      </c>
      <c r="F478" s="2317" t="e">
        <f>+'VAL. PRINC'!#REF!</f>
        <v>#REF!</v>
      </c>
      <c r="G478" s="2296"/>
    </row>
    <row r="479" spans="3:7" hidden="1">
      <c r="C479" s="1268" t="s">
        <v>2549</v>
      </c>
      <c r="D479" s="1241" t="s">
        <v>3274</v>
      </c>
      <c r="E479" s="1245" t="s">
        <v>38</v>
      </c>
      <c r="F479" s="2317" t="e">
        <f>+'VAL. PRINC'!#REF!</f>
        <v>#REF!</v>
      </c>
      <c r="G479" s="2296"/>
    </row>
    <row r="480" spans="3:7">
      <c r="C480" s="1268" t="s">
        <v>2550</v>
      </c>
      <c r="D480" s="1241" t="s">
        <v>3275</v>
      </c>
      <c r="E480" s="1245" t="s">
        <v>38</v>
      </c>
      <c r="F480" s="2317" t="e">
        <f>+'VAL. PRINC'!#REF!</f>
        <v>#REF!</v>
      </c>
      <c r="G480" s="2296"/>
    </row>
    <row r="481" spans="3:7" hidden="1">
      <c r="C481" s="1268" t="s">
        <v>2551</v>
      </c>
      <c r="D481" s="1241" t="s">
        <v>3276</v>
      </c>
      <c r="E481" s="1245" t="s">
        <v>38</v>
      </c>
      <c r="F481" s="2317" t="e">
        <f>+'VAL. PRINC'!#REF!</f>
        <v>#REF!</v>
      </c>
      <c r="G481" s="2296"/>
    </row>
    <row r="482" spans="3:7" hidden="1">
      <c r="C482" s="1268" t="s">
        <v>2552</v>
      </c>
      <c r="D482" s="1241" t="s">
        <v>3277</v>
      </c>
      <c r="E482" s="1245" t="s">
        <v>38</v>
      </c>
      <c r="F482" s="2317" t="e">
        <f>+'VAL. PRINC'!#REF!</f>
        <v>#REF!</v>
      </c>
      <c r="G482" s="2296"/>
    </row>
    <row r="483" spans="3:7" hidden="1">
      <c r="C483" s="1268" t="s">
        <v>2553</v>
      </c>
      <c r="D483" s="1241" t="s">
        <v>3278</v>
      </c>
      <c r="E483" s="1245" t="s">
        <v>38</v>
      </c>
      <c r="F483" s="2317" t="e">
        <f>+'VAL. PRINC'!#REF!</f>
        <v>#REF!</v>
      </c>
      <c r="G483" s="2296"/>
    </row>
    <row r="484" spans="3:7" hidden="1">
      <c r="C484" s="1272" t="s">
        <v>496</v>
      </c>
      <c r="D484" s="1262" t="s">
        <v>3279</v>
      </c>
      <c r="E484" s="1273"/>
      <c r="F484" s="2317" t="e">
        <f>+'VAL. PRINC'!#REF!</f>
        <v>#REF!</v>
      </c>
      <c r="G484" s="2296"/>
    </row>
    <row r="485" spans="3:7" hidden="1">
      <c r="C485" s="1268" t="s">
        <v>2554</v>
      </c>
      <c r="D485" s="1241" t="s">
        <v>3276</v>
      </c>
      <c r="E485" s="1245" t="s">
        <v>38</v>
      </c>
      <c r="F485" s="2317" t="e">
        <f>+'VAL. PRINC'!#REF!</f>
        <v>#REF!</v>
      </c>
      <c r="G485" s="2296"/>
    </row>
    <row r="486" spans="3:7" hidden="1">
      <c r="C486" s="1268" t="s">
        <v>2555</v>
      </c>
      <c r="D486" s="1241" t="s">
        <v>3277</v>
      </c>
      <c r="E486" s="1245" t="s">
        <v>38</v>
      </c>
      <c r="F486" s="2317" t="e">
        <f>+'VAL. PRINC'!#REF!</f>
        <v>#REF!</v>
      </c>
      <c r="G486" s="2296"/>
    </row>
    <row r="487" spans="3:7">
      <c r="C487" s="1272" t="s">
        <v>1025</v>
      </c>
      <c r="D487" s="1262" t="s">
        <v>3280</v>
      </c>
      <c r="E487" s="1273"/>
      <c r="F487" s="2317"/>
      <c r="G487" s="2296"/>
    </row>
    <row r="488" spans="3:7" hidden="1">
      <c r="C488" s="1268" t="s">
        <v>2556</v>
      </c>
      <c r="D488" s="1241" t="s">
        <v>3281</v>
      </c>
      <c r="E488" s="1245" t="s">
        <v>36</v>
      </c>
      <c r="F488" s="2317" t="e">
        <f>+'VAL. PRINC'!#REF!</f>
        <v>#REF!</v>
      </c>
      <c r="G488" s="2296"/>
    </row>
    <row r="489" spans="3:7" hidden="1">
      <c r="C489" s="1268" t="s">
        <v>2557</v>
      </c>
      <c r="D489" s="1241" t="s">
        <v>3282</v>
      </c>
      <c r="E489" s="1245" t="s">
        <v>36</v>
      </c>
      <c r="F489" s="2317" t="e">
        <f>+'VAL. PRINC'!#REF!</f>
        <v>#REF!</v>
      </c>
      <c r="G489" s="2296"/>
    </row>
    <row r="490" spans="3:7" hidden="1">
      <c r="C490" s="1268" t="s">
        <v>2558</v>
      </c>
      <c r="D490" s="1241" t="s">
        <v>3283</v>
      </c>
      <c r="E490" s="1245" t="s">
        <v>36</v>
      </c>
      <c r="F490" s="2317" t="e">
        <f>+'VAL. PRINC'!#REF!</f>
        <v>#REF!</v>
      </c>
      <c r="G490" s="2296"/>
    </row>
    <row r="491" spans="3:7" hidden="1">
      <c r="C491" s="1268" t="s">
        <v>2559</v>
      </c>
      <c r="D491" s="1241" t="s">
        <v>3284</v>
      </c>
      <c r="E491" s="1245" t="s">
        <v>36</v>
      </c>
      <c r="F491" s="2317" t="e">
        <f>+'VAL. PRINC'!#REF!</f>
        <v>#REF!</v>
      </c>
      <c r="G491" s="2296"/>
    </row>
    <row r="492" spans="3:7" hidden="1">
      <c r="C492" s="1268" t="s">
        <v>2560</v>
      </c>
      <c r="D492" s="1241" t="s">
        <v>3285</v>
      </c>
      <c r="E492" s="1245" t="s">
        <v>36</v>
      </c>
      <c r="F492" s="2317" t="e">
        <f>+'VAL. PRINC'!#REF!</f>
        <v>#REF!</v>
      </c>
      <c r="G492" s="2296"/>
    </row>
    <row r="493" spans="3:7" hidden="1">
      <c r="C493" s="1268" t="s">
        <v>2561</v>
      </c>
      <c r="D493" s="1241" t="s">
        <v>3286</v>
      </c>
      <c r="E493" s="1245" t="s">
        <v>36</v>
      </c>
      <c r="F493" s="2317" t="e">
        <f>+'VAL. PRINC'!#REF!</f>
        <v>#REF!</v>
      </c>
      <c r="G493" s="2296"/>
    </row>
    <row r="494" spans="3:7" hidden="1">
      <c r="C494" s="1268" t="s">
        <v>2562</v>
      </c>
      <c r="D494" s="1241" t="s">
        <v>3287</v>
      </c>
      <c r="E494" s="1245" t="s">
        <v>36</v>
      </c>
      <c r="F494" s="2317" t="e">
        <f>+'VAL. PRINC'!#REF!</f>
        <v>#REF!</v>
      </c>
      <c r="G494" s="2296"/>
    </row>
    <row r="495" spans="3:7" hidden="1">
      <c r="C495" s="1268" t="s">
        <v>2563</v>
      </c>
      <c r="D495" s="1241" t="s">
        <v>3288</v>
      </c>
      <c r="E495" s="1245" t="s">
        <v>36</v>
      </c>
      <c r="F495" s="2317" t="e">
        <f>+'VAL. PRINC'!#REF!</f>
        <v>#REF!</v>
      </c>
      <c r="G495" s="2296"/>
    </row>
    <row r="496" spans="3:7">
      <c r="C496" s="1268" t="s">
        <v>2564</v>
      </c>
      <c r="D496" s="1241" t="s">
        <v>3289</v>
      </c>
      <c r="E496" s="1245" t="s">
        <v>36</v>
      </c>
      <c r="F496" s="2317" t="e">
        <f>+'VAL. PRINC'!#REF!</f>
        <v>#REF!</v>
      </c>
      <c r="G496" s="2296"/>
    </row>
    <row r="497" spans="3:7" hidden="1">
      <c r="C497" s="1268" t="s">
        <v>2565</v>
      </c>
      <c r="D497" s="1241" t="s">
        <v>3290</v>
      </c>
      <c r="E497" s="1245" t="s">
        <v>36</v>
      </c>
      <c r="F497" s="2317" t="e">
        <f>+'VAL. PRINC'!#REF!</f>
        <v>#REF!</v>
      </c>
      <c r="G497" s="2296"/>
    </row>
    <row r="498" spans="3:7" hidden="1">
      <c r="C498" s="1268" t="s">
        <v>2566</v>
      </c>
      <c r="D498" s="1241" t="s">
        <v>3291</v>
      </c>
      <c r="E498" s="1245" t="s">
        <v>36</v>
      </c>
      <c r="F498" s="2317" t="e">
        <f>+'VAL. PRINC'!#REF!</f>
        <v>#REF!</v>
      </c>
      <c r="G498" s="2296"/>
    </row>
    <row r="499" spans="3:7" hidden="1">
      <c r="C499" s="1268" t="s">
        <v>2567</v>
      </c>
      <c r="D499" s="1241" t="s">
        <v>3292</v>
      </c>
      <c r="E499" s="1245" t="s">
        <v>36</v>
      </c>
      <c r="F499" s="2317" t="e">
        <f>+'VAL. PRINC'!#REF!</f>
        <v>#REF!</v>
      </c>
      <c r="G499" s="2296"/>
    </row>
    <row r="500" spans="3:7" hidden="1">
      <c r="C500" s="1268" t="s">
        <v>2568</v>
      </c>
      <c r="D500" s="1241" t="s">
        <v>3293</v>
      </c>
      <c r="E500" s="1245" t="s">
        <v>36</v>
      </c>
      <c r="F500" s="2317" t="e">
        <f>+'VAL. PRINC'!#REF!</f>
        <v>#REF!</v>
      </c>
      <c r="G500" s="2296"/>
    </row>
    <row r="501" spans="3:7" hidden="1">
      <c r="C501" s="1268" t="s">
        <v>2569</v>
      </c>
      <c r="D501" s="1241" t="s">
        <v>3294</v>
      </c>
      <c r="E501" s="1245" t="s">
        <v>36</v>
      </c>
      <c r="F501" s="2317" t="e">
        <f>+'VAL. PRINC'!#REF!</f>
        <v>#REF!</v>
      </c>
      <c r="G501" s="2296"/>
    </row>
    <row r="502" spans="3:7" hidden="1">
      <c r="C502" s="1268" t="s">
        <v>2570</v>
      </c>
      <c r="D502" s="1241" t="s">
        <v>3295</v>
      </c>
      <c r="E502" s="1245" t="s">
        <v>36</v>
      </c>
      <c r="F502" s="2317" t="e">
        <f>+'VAL. PRINC'!#REF!</f>
        <v>#REF!</v>
      </c>
      <c r="G502" s="2296"/>
    </row>
    <row r="503" spans="3:7" hidden="1">
      <c r="C503" s="1268" t="s">
        <v>2571</v>
      </c>
      <c r="D503" s="1241" t="s">
        <v>3296</v>
      </c>
      <c r="E503" s="1245" t="s">
        <v>36</v>
      </c>
      <c r="F503" s="2317" t="e">
        <f>+'VAL. PRINC'!#REF!</f>
        <v>#REF!</v>
      </c>
      <c r="G503" s="2296"/>
    </row>
    <row r="504" spans="3:7" hidden="1">
      <c r="C504" s="1268" t="s">
        <v>2572</v>
      </c>
      <c r="D504" s="1241" t="s">
        <v>3297</v>
      </c>
      <c r="E504" s="1245" t="s">
        <v>36</v>
      </c>
      <c r="F504" s="2317" t="e">
        <f>+'VAL. PRINC'!#REF!</f>
        <v>#REF!</v>
      </c>
      <c r="G504" s="2296"/>
    </row>
    <row r="505" spans="3:7" hidden="1">
      <c r="C505" s="1268" t="s">
        <v>2573</v>
      </c>
      <c r="D505" s="1241" t="s">
        <v>3298</v>
      </c>
      <c r="E505" s="1245" t="s">
        <v>36</v>
      </c>
      <c r="F505" s="2317" t="e">
        <f>+'VAL. PRINC'!#REF!</f>
        <v>#REF!</v>
      </c>
      <c r="G505" s="2296"/>
    </row>
    <row r="506" spans="3:7" hidden="1">
      <c r="C506" s="1268" t="s">
        <v>2574</v>
      </c>
      <c r="D506" s="1241" t="s">
        <v>3299</v>
      </c>
      <c r="E506" s="1245" t="s">
        <v>36</v>
      </c>
      <c r="F506" s="2317" t="e">
        <f>+'VAL. PRINC'!#REF!</f>
        <v>#REF!</v>
      </c>
      <c r="G506" s="2296"/>
    </row>
    <row r="507" spans="3:7" hidden="1">
      <c r="C507" s="1268" t="s">
        <v>2575</v>
      </c>
      <c r="D507" s="1241" t="s">
        <v>3300</v>
      </c>
      <c r="E507" s="1245" t="s">
        <v>36</v>
      </c>
      <c r="F507" s="2317" t="e">
        <f>+'VAL. PRINC'!#REF!</f>
        <v>#REF!</v>
      </c>
      <c r="G507" s="2296"/>
    </row>
    <row r="508" spans="3:7" hidden="1">
      <c r="C508" s="1268" t="s">
        <v>2576</v>
      </c>
      <c r="D508" s="1241" t="s">
        <v>3301</v>
      </c>
      <c r="E508" s="1245" t="s">
        <v>36</v>
      </c>
      <c r="F508" s="2317" t="e">
        <f>+'VAL. PRINC'!#REF!</f>
        <v>#REF!</v>
      </c>
      <c r="G508" s="2296"/>
    </row>
    <row r="509" spans="3:7" hidden="1">
      <c r="C509" s="1272" t="s">
        <v>1026</v>
      </c>
      <c r="D509" s="1262" t="s">
        <v>3302</v>
      </c>
      <c r="E509" s="1273"/>
      <c r="F509" s="2317" t="e">
        <f>+'VAL. PRINC'!#REF!</f>
        <v>#REF!</v>
      </c>
      <c r="G509" s="2296"/>
    </row>
    <row r="510" spans="3:7" hidden="1">
      <c r="C510" s="1268" t="s">
        <v>2577</v>
      </c>
      <c r="D510" s="1241" t="s">
        <v>3303</v>
      </c>
      <c r="E510" s="1245" t="s">
        <v>1451</v>
      </c>
      <c r="F510" s="2317" t="e">
        <f>+'VAL. PRINC'!#REF!</f>
        <v>#REF!</v>
      </c>
      <c r="G510" s="2296"/>
    </row>
    <row r="511" spans="3:7" hidden="1">
      <c r="C511" s="1268" t="s">
        <v>2578</v>
      </c>
      <c r="D511" s="1241" t="s">
        <v>3304</v>
      </c>
      <c r="E511" s="1245" t="s">
        <v>1451</v>
      </c>
      <c r="F511" s="2317" t="e">
        <f>+'VAL. PRINC'!#REF!</f>
        <v>#REF!</v>
      </c>
      <c r="G511" s="2296"/>
    </row>
    <row r="512" spans="3:7" hidden="1">
      <c r="C512" s="1268" t="s">
        <v>2579</v>
      </c>
      <c r="D512" s="1241" t="s">
        <v>3305</v>
      </c>
      <c r="E512" s="1245" t="s">
        <v>1451</v>
      </c>
      <c r="F512" s="2317" t="e">
        <f>+'VAL. PRINC'!#REF!</f>
        <v>#REF!</v>
      </c>
      <c r="G512" s="2296"/>
    </row>
    <row r="513" spans="3:7" hidden="1">
      <c r="C513" s="1268" t="s">
        <v>2580</v>
      </c>
      <c r="D513" s="1241" t="s">
        <v>3306</v>
      </c>
      <c r="E513" s="1245" t="s">
        <v>1451</v>
      </c>
      <c r="F513" s="2317" t="e">
        <f>+'VAL. PRINC'!#REF!</f>
        <v>#REF!</v>
      </c>
      <c r="G513" s="2296"/>
    </row>
    <row r="514" spans="3:7" hidden="1">
      <c r="C514" s="1272" t="s">
        <v>1027</v>
      </c>
      <c r="D514" s="1262" t="s">
        <v>3307</v>
      </c>
      <c r="E514" s="1273"/>
      <c r="F514" s="2317" t="e">
        <f>+'VAL. PRINC'!#REF!</f>
        <v>#REF!</v>
      </c>
      <c r="G514" s="2296"/>
    </row>
    <row r="515" spans="3:7" hidden="1">
      <c r="C515" s="1268" t="s">
        <v>2581</v>
      </c>
      <c r="D515" s="1241" t="s">
        <v>3308</v>
      </c>
      <c r="E515" s="1245" t="s">
        <v>41</v>
      </c>
      <c r="F515" s="2317" t="e">
        <f>+'VAL. PRINC'!#REF!</f>
        <v>#REF!</v>
      </c>
      <c r="G515" s="2296"/>
    </row>
    <row r="516" spans="3:7" hidden="1">
      <c r="C516" s="1268" t="s">
        <v>2582</v>
      </c>
      <c r="D516" s="1241" t="s">
        <v>3309</v>
      </c>
      <c r="E516" s="1245" t="s">
        <v>41</v>
      </c>
      <c r="F516" s="2317" t="e">
        <f>+'VAL. PRINC'!#REF!</f>
        <v>#REF!</v>
      </c>
      <c r="G516" s="2296"/>
    </row>
    <row r="517" spans="3:7" hidden="1">
      <c r="C517" s="1272" t="s">
        <v>1028</v>
      </c>
      <c r="D517" s="1262" t="s">
        <v>3310</v>
      </c>
      <c r="E517" s="1273"/>
      <c r="F517" s="2317" t="e">
        <f>+'VAL. PRINC'!#REF!</f>
        <v>#REF!</v>
      </c>
      <c r="G517" s="2296"/>
    </row>
    <row r="518" spans="3:7" hidden="1">
      <c r="C518" s="1268" t="s">
        <v>2583</v>
      </c>
      <c r="D518" s="1241" t="s">
        <v>3311</v>
      </c>
      <c r="E518" s="1245" t="s">
        <v>36</v>
      </c>
      <c r="F518" s="2317" t="e">
        <f>+'VAL. PRINC'!#REF!</f>
        <v>#REF!</v>
      </c>
      <c r="G518" s="2296"/>
    </row>
    <row r="519" spans="3:7" hidden="1">
      <c r="C519" s="1268" t="s">
        <v>2584</v>
      </c>
      <c r="D519" s="1241" t="s">
        <v>3312</v>
      </c>
      <c r="E519" s="1245" t="s">
        <v>41</v>
      </c>
      <c r="F519" s="2317" t="e">
        <f>+'VAL. PRINC'!#REF!</f>
        <v>#REF!</v>
      </c>
      <c r="G519" s="2296"/>
    </row>
    <row r="520" spans="3:7" hidden="1">
      <c r="C520" s="1268" t="s">
        <v>2585</v>
      </c>
      <c r="D520" s="1241" t="s">
        <v>3313</v>
      </c>
      <c r="E520" s="1245" t="s">
        <v>36</v>
      </c>
      <c r="F520" s="2317" t="e">
        <f>+'VAL. PRINC'!#REF!</f>
        <v>#REF!</v>
      </c>
      <c r="G520" s="2296"/>
    </row>
    <row r="521" spans="3:7">
      <c r="C521" s="1263" t="s">
        <v>497</v>
      </c>
      <c r="D521" s="1264" t="s">
        <v>3314</v>
      </c>
      <c r="E521" s="1265"/>
      <c r="F521" s="2317"/>
      <c r="G521" s="2296"/>
    </row>
    <row r="522" spans="3:7">
      <c r="C522" s="1272" t="s">
        <v>498</v>
      </c>
      <c r="D522" s="1262" t="s">
        <v>3315</v>
      </c>
      <c r="E522" s="1273"/>
      <c r="F522" s="2317"/>
      <c r="G522" s="2296"/>
    </row>
    <row r="523" spans="3:7" hidden="1">
      <c r="C523" s="1268" t="s">
        <v>2586</v>
      </c>
      <c r="D523" s="1241" t="s">
        <v>3316</v>
      </c>
      <c r="E523" s="1245" t="s">
        <v>38</v>
      </c>
      <c r="F523" s="2317" t="e">
        <f>+'VAL. PRINC'!#REF!</f>
        <v>#REF!</v>
      </c>
      <c r="G523" s="2296"/>
    </row>
    <row r="524" spans="3:7" hidden="1">
      <c r="C524" s="1268" t="s">
        <v>2587</v>
      </c>
      <c r="D524" s="1241" t="s">
        <v>3317</v>
      </c>
      <c r="E524" s="1245" t="s">
        <v>38</v>
      </c>
      <c r="F524" s="2317" t="e">
        <f>+'VAL. PRINC'!#REF!</f>
        <v>#REF!</v>
      </c>
      <c r="G524" s="2296"/>
    </row>
    <row r="525" spans="3:7" hidden="1">
      <c r="C525" s="1268" t="s">
        <v>2588</v>
      </c>
      <c r="D525" s="1241" t="s">
        <v>3318</v>
      </c>
      <c r="E525" s="1245" t="s">
        <v>38</v>
      </c>
      <c r="F525" s="2317" t="e">
        <f>+'VAL. PRINC'!#REF!</f>
        <v>#REF!</v>
      </c>
      <c r="G525" s="2296"/>
    </row>
    <row r="526" spans="3:7" hidden="1">
      <c r="C526" s="1268" t="s">
        <v>2589</v>
      </c>
      <c r="D526" s="1241" t="s">
        <v>3319</v>
      </c>
      <c r="E526" s="1245" t="s">
        <v>38</v>
      </c>
      <c r="F526" s="2317" t="e">
        <f>+'VAL. PRINC'!#REF!</f>
        <v>#REF!</v>
      </c>
      <c r="G526" s="2296"/>
    </row>
    <row r="527" spans="3:7">
      <c r="C527" s="1268" t="s">
        <v>2590</v>
      </c>
      <c r="D527" s="1241" t="s">
        <v>3320</v>
      </c>
      <c r="E527" s="1245" t="s">
        <v>38</v>
      </c>
      <c r="F527" s="2317" t="e">
        <f>+'VAL. PRINC'!#REF!</f>
        <v>#REF!</v>
      </c>
      <c r="G527" s="2296"/>
    </row>
    <row r="528" spans="3:7" hidden="1">
      <c r="C528" s="1268" t="s">
        <v>2591</v>
      </c>
      <c r="D528" s="1241" t="s">
        <v>3321</v>
      </c>
      <c r="E528" s="1245" t="s">
        <v>38</v>
      </c>
      <c r="F528" s="2317" t="e">
        <f>+'VAL. PRINC'!#REF!</f>
        <v>#REF!</v>
      </c>
      <c r="G528" s="2296"/>
    </row>
    <row r="529" spans="3:7">
      <c r="C529" s="1268" t="s">
        <v>2592</v>
      </c>
      <c r="D529" s="1241" t="s">
        <v>3322</v>
      </c>
      <c r="E529" s="1245" t="s">
        <v>36</v>
      </c>
      <c r="F529" s="2317" t="e">
        <f>+'VAL. PRINC'!#REF!</f>
        <v>#REF!</v>
      </c>
      <c r="G529" s="2296"/>
    </row>
    <row r="530" spans="3:7">
      <c r="C530" s="1268" t="s">
        <v>2593</v>
      </c>
      <c r="D530" s="1241" t="s">
        <v>3323</v>
      </c>
      <c r="E530" s="1245" t="s">
        <v>36</v>
      </c>
      <c r="F530" s="2317" t="e">
        <f>+'VAL. PRINC'!#REF!</f>
        <v>#REF!</v>
      </c>
      <c r="G530" s="2296"/>
    </row>
    <row r="531" spans="3:7">
      <c r="C531" s="1272" t="s">
        <v>499</v>
      </c>
      <c r="D531" s="1262" t="s">
        <v>3324</v>
      </c>
      <c r="E531" s="1273"/>
      <c r="F531" s="2317"/>
      <c r="G531" s="2296"/>
    </row>
    <row r="532" spans="3:7" hidden="1">
      <c r="C532" s="1268" t="s">
        <v>2594</v>
      </c>
      <c r="D532" s="1241" t="s">
        <v>3325</v>
      </c>
      <c r="E532" s="1245" t="s">
        <v>38</v>
      </c>
      <c r="F532" s="2317" t="e">
        <f>+'VAL. PRINC'!#REF!</f>
        <v>#REF!</v>
      </c>
      <c r="G532" s="2296"/>
    </row>
    <row r="533" spans="3:7">
      <c r="C533" s="1268" t="s">
        <v>2595</v>
      </c>
      <c r="D533" s="1241" t="s">
        <v>3326</v>
      </c>
      <c r="E533" s="1245" t="s">
        <v>38</v>
      </c>
      <c r="F533" s="2317" t="e">
        <f>+'VAL. PRINC'!#REF!</f>
        <v>#REF!</v>
      </c>
      <c r="G533" s="2296"/>
    </row>
    <row r="534" spans="3:7">
      <c r="C534" s="1268" t="s">
        <v>2596</v>
      </c>
      <c r="D534" s="1241" t="s">
        <v>3327</v>
      </c>
      <c r="E534" s="1245" t="s">
        <v>38</v>
      </c>
      <c r="F534" s="2317" t="e">
        <f>+'VAL. PRINC'!#REF!</f>
        <v>#REF!</v>
      </c>
      <c r="G534" s="2296"/>
    </row>
    <row r="535" spans="3:7" hidden="1">
      <c r="C535" s="1268" t="s">
        <v>2597</v>
      </c>
      <c r="D535" s="1241" t="s">
        <v>3328</v>
      </c>
      <c r="E535" s="1245" t="s">
        <v>38</v>
      </c>
      <c r="F535" s="2317" t="e">
        <f>+'VAL. PRINC'!#REF!</f>
        <v>#REF!</v>
      </c>
      <c r="G535" s="2296"/>
    </row>
    <row r="536" spans="3:7" hidden="1">
      <c r="C536" s="1268" t="s">
        <v>2598</v>
      </c>
      <c r="D536" s="1241" t="s">
        <v>3329</v>
      </c>
      <c r="E536" s="1245" t="s">
        <v>38</v>
      </c>
      <c r="F536" s="2317" t="e">
        <f>+'VAL. PRINC'!#REF!</f>
        <v>#REF!</v>
      </c>
      <c r="G536" s="2296"/>
    </row>
    <row r="537" spans="3:7" hidden="1">
      <c r="C537" s="1268" t="s">
        <v>2599</v>
      </c>
      <c r="D537" s="1241" t="s">
        <v>3330</v>
      </c>
      <c r="E537" s="1245" t="s">
        <v>38</v>
      </c>
      <c r="F537" s="2317" t="e">
        <f>+'VAL. PRINC'!#REF!</f>
        <v>#REF!</v>
      </c>
      <c r="G537" s="2296"/>
    </row>
    <row r="538" spans="3:7" hidden="1">
      <c r="C538" s="1268" t="s">
        <v>2600</v>
      </c>
      <c r="D538" s="1241" t="s">
        <v>3331</v>
      </c>
      <c r="E538" s="1245" t="s">
        <v>38</v>
      </c>
      <c r="F538" s="2317" t="e">
        <f>+'VAL. PRINC'!#REF!</f>
        <v>#REF!</v>
      </c>
      <c r="G538" s="2296"/>
    </row>
    <row r="539" spans="3:7" hidden="1">
      <c r="C539" s="1268" t="s">
        <v>2601</v>
      </c>
      <c r="D539" s="1241" t="s">
        <v>3332</v>
      </c>
      <c r="E539" s="1245" t="s">
        <v>38</v>
      </c>
      <c r="F539" s="2317" t="e">
        <f>+'VAL. PRINC'!#REF!</f>
        <v>#REF!</v>
      </c>
      <c r="G539" s="2296"/>
    </row>
    <row r="540" spans="3:7">
      <c r="C540" s="1268" t="s">
        <v>2602</v>
      </c>
      <c r="D540" s="1241" t="s">
        <v>3333</v>
      </c>
      <c r="E540" s="1245" t="s">
        <v>38</v>
      </c>
      <c r="F540" s="2317" t="e">
        <f>+'VAL. PRINC'!#REF!</f>
        <v>#REF!</v>
      </c>
      <c r="G540" s="2296"/>
    </row>
    <row r="541" spans="3:7" hidden="1">
      <c r="C541" s="1268" t="s">
        <v>2603</v>
      </c>
      <c r="D541" s="1241" t="s">
        <v>3334</v>
      </c>
      <c r="E541" s="1245" t="s">
        <v>38</v>
      </c>
      <c r="F541" s="2317" t="e">
        <f>+'VAL. PRINC'!#REF!</f>
        <v>#REF!</v>
      </c>
      <c r="G541" s="2296"/>
    </row>
    <row r="542" spans="3:7" hidden="1">
      <c r="C542" s="1268" t="s">
        <v>2604</v>
      </c>
      <c r="D542" s="1241" t="s">
        <v>3335</v>
      </c>
      <c r="E542" s="1245" t="s">
        <v>38</v>
      </c>
      <c r="F542" s="2317" t="e">
        <f>+'VAL. PRINC'!#REF!</f>
        <v>#REF!</v>
      </c>
      <c r="G542" s="2296"/>
    </row>
    <row r="543" spans="3:7" hidden="1">
      <c r="C543" s="1268" t="s">
        <v>2605</v>
      </c>
      <c r="D543" s="1241" t="s">
        <v>3336</v>
      </c>
      <c r="E543" s="1245" t="s">
        <v>38</v>
      </c>
      <c r="F543" s="2317" t="e">
        <f>+'VAL. PRINC'!#REF!</f>
        <v>#REF!</v>
      </c>
      <c r="G543" s="2296"/>
    </row>
    <row r="544" spans="3:7" hidden="1">
      <c r="C544" s="1268" t="s">
        <v>2606</v>
      </c>
      <c r="D544" s="1241" t="s">
        <v>3337</v>
      </c>
      <c r="E544" s="1245" t="s">
        <v>36</v>
      </c>
      <c r="F544" s="2317" t="e">
        <f>+'VAL. PRINC'!#REF!</f>
        <v>#REF!</v>
      </c>
      <c r="G544" s="2296"/>
    </row>
    <row r="545" spans="3:7" hidden="1">
      <c r="C545" s="1268" t="s">
        <v>2607</v>
      </c>
      <c r="D545" s="1241" t="s">
        <v>3338</v>
      </c>
      <c r="E545" s="1245" t="s">
        <v>36</v>
      </c>
      <c r="F545" s="2317" t="e">
        <f>+'VAL. PRINC'!#REF!</f>
        <v>#REF!</v>
      </c>
      <c r="G545" s="2296"/>
    </row>
    <row r="546" spans="3:7" hidden="1">
      <c r="C546" s="1268" t="s">
        <v>2608</v>
      </c>
      <c r="D546" s="1241" t="s">
        <v>3339</v>
      </c>
      <c r="E546" s="1245" t="s">
        <v>36</v>
      </c>
      <c r="F546" s="2317" t="e">
        <f>+'VAL. PRINC'!#REF!</f>
        <v>#REF!</v>
      </c>
      <c r="G546" s="2296"/>
    </row>
    <row r="547" spans="3:7" hidden="1">
      <c r="C547" s="1272" t="s">
        <v>1032</v>
      </c>
      <c r="D547" s="1262" t="s">
        <v>3340</v>
      </c>
      <c r="E547" s="1273"/>
      <c r="F547" s="2317"/>
      <c r="G547" s="2296"/>
    </row>
    <row r="548" spans="3:7" hidden="1">
      <c r="C548" s="1268" t="s">
        <v>2609</v>
      </c>
      <c r="D548" s="1241" t="s">
        <v>3341</v>
      </c>
      <c r="E548" s="1245" t="s">
        <v>36</v>
      </c>
      <c r="F548" s="2317" t="e">
        <f>+'VAL. PRINC'!#REF!</f>
        <v>#REF!</v>
      </c>
      <c r="G548" s="2296"/>
    </row>
    <row r="549" spans="3:7" hidden="1">
      <c r="C549" s="1268" t="s">
        <v>2610</v>
      </c>
      <c r="D549" s="1241" t="s">
        <v>3342</v>
      </c>
      <c r="E549" s="1245" t="s">
        <v>36</v>
      </c>
      <c r="F549" s="2317" t="e">
        <f>+'VAL. PRINC'!#REF!</f>
        <v>#REF!</v>
      </c>
      <c r="G549" s="2296"/>
    </row>
    <row r="550" spans="3:7" hidden="1">
      <c r="C550" s="1268" t="s">
        <v>2611</v>
      </c>
      <c r="D550" s="1241" t="s">
        <v>3343</v>
      </c>
      <c r="E550" s="1245" t="s">
        <v>36</v>
      </c>
      <c r="F550" s="2317" t="e">
        <f>+'VAL. PRINC'!#REF!</f>
        <v>#REF!</v>
      </c>
      <c r="G550" s="2296"/>
    </row>
    <row r="551" spans="3:7" hidden="1">
      <c r="C551" s="1268" t="s">
        <v>2612</v>
      </c>
      <c r="D551" s="1241" t="s">
        <v>3344</v>
      </c>
      <c r="E551" s="1245" t="s">
        <v>36</v>
      </c>
      <c r="F551" s="2317" t="e">
        <f>+'VAL. PRINC'!#REF!</f>
        <v>#REF!</v>
      </c>
      <c r="G551" s="2296"/>
    </row>
    <row r="552" spans="3:7" hidden="1">
      <c r="C552" s="1268" t="s">
        <v>2613</v>
      </c>
      <c r="D552" s="1241" t="s">
        <v>3345</v>
      </c>
      <c r="E552" s="1245" t="s">
        <v>36</v>
      </c>
      <c r="F552" s="2317" t="e">
        <f>+'VAL. PRINC'!#REF!</f>
        <v>#REF!</v>
      </c>
      <c r="G552" s="2296"/>
    </row>
    <row r="553" spans="3:7" hidden="1">
      <c r="C553" s="1268" t="s">
        <v>2614</v>
      </c>
      <c r="D553" s="1241" t="s">
        <v>3346</v>
      </c>
      <c r="E553" s="1245" t="s">
        <v>36</v>
      </c>
      <c r="F553" s="2317" t="e">
        <f>+'VAL. PRINC'!#REF!</f>
        <v>#REF!</v>
      </c>
      <c r="G553" s="2296"/>
    </row>
    <row r="554" spans="3:7" hidden="1">
      <c r="C554" s="1268" t="s">
        <v>2615</v>
      </c>
      <c r="D554" s="1241" t="s">
        <v>3347</v>
      </c>
      <c r="E554" s="1245" t="s">
        <v>36</v>
      </c>
      <c r="F554" s="2317" t="e">
        <f>+'VAL. PRINC'!#REF!</f>
        <v>#REF!</v>
      </c>
      <c r="G554" s="2296"/>
    </row>
    <row r="555" spans="3:7">
      <c r="C555" s="1263" t="s">
        <v>500</v>
      </c>
      <c r="D555" s="1264" t="s">
        <v>3348</v>
      </c>
      <c r="E555" s="1265"/>
      <c r="F555" s="2317"/>
      <c r="G555" s="2296"/>
    </row>
    <row r="556" spans="3:7" hidden="1">
      <c r="C556" s="1272" t="s">
        <v>501</v>
      </c>
      <c r="D556" s="1262" t="s">
        <v>3349</v>
      </c>
      <c r="E556" s="1273"/>
      <c r="F556" s="2317"/>
      <c r="G556" s="2296"/>
    </row>
    <row r="557" spans="3:7" hidden="1">
      <c r="C557" s="1268" t="s">
        <v>2616</v>
      </c>
      <c r="D557" s="1241" t="s">
        <v>3350</v>
      </c>
      <c r="E557" s="1245" t="s">
        <v>1452</v>
      </c>
      <c r="F557" s="2317" t="e">
        <f>+'VAL. PRINC'!#REF!</f>
        <v>#REF!</v>
      </c>
      <c r="G557" s="2296"/>
    </row>
    <row r="558" spans="3:7" hidden="1">
      <c r="C558" s="1268" t="s">
        <v>2617</v>
      </c>
      <c r="D558" s="1241" t="s">
        <v>3351</v>
      </c>
      <c r="E558" s="1245" t="s">
        <v>1452</v>
      </c>
      <c r="F558" s="2317" t="e">
        <f>+'VAL. PRINC'!#REF!</f>
        <v>#REF!</v>
      </c>
      <c r="G558" s="2296"/>
    </row>
    <row r="559" spans="3:7" hidden="1">
      <c r="C559" s="1268" t="s">
        <v>2618</v>
      </c>
      <c r="D559" s="1241" t="s">
        <v>3352</v>
      </c>
      <c r="E559" s="1245" t="s">
        <v>1452</v>
      </c>
      <c r="F559" s="2317" t="e">
        <f>+'VAL. PRINC'!#REF!</f>
        <v>#REF!</v>
      </c>
      <c r="G559" s="2296"/>
    </row>
    <row r="560" spans="3:7" hidden="1">
      <c r="C560" s="1268" t="s">
        <v>2619</v>
      </c>
      <c r="D560" s="1241" t="s">
        <v>3353</v>
      </c>
      <c r="E560" s="1245" t="s">
        <v>1452</v>
      </c>
      <c r="F560" s="2317" t="e">
        <f>+'VAL. PRINC'!#REF!</f>
        <v>#REF!</v>
      </c>
      <c r="G560" s="2296"/>
    </row>
    <row r="561" spans="3:7">
      <c r="C561" s="1272" t="s">
        <v>502</v>
      </c>
      <c r="D561" s="1262" t="s">
        <v>3354</v>
      </c>
      <c r="E561" s="1273"/>
      <c r="F561" s="2317"/>
      <c r="G561" s="2296"/>
    </row>
    <row r="562" spans="3:7">
      <c r="C562" s="1268" t="s">
        <v>2620</v>
      </c>
      <c r="D562" s="1241" t="s">
        <v>3355</v>
      </c>
      <c r="E562" s="1245" t="s">
        <v>38</v>
      </c>
      <c r="F562" s="2317" t="e">
        <f>+'VAL. PRINC'!#REF!</f>
        <v>#REF!</v>
      </c>
      <c r="G562" s="2296"/>
    </row>
    <row r="563" spans="3:7" hidden="1">
      <c r="C563" s="1268" t="s">
        <v>2621</v>
      </c>
      <c r="D563" s="1241" t="s">
        <v>3356</v>
      </c>
      <c r="E563" s="1245" t="s">
        <v>38</v>
      </c>
      <c r="F563" s="2317" t="e">
        <f>+'VAL. PRINC'!#REF!</f>
        <v>#REF!</v>
      </c>
      <c r="G563" s="2296"/>
    </row>
    <row r="564" spans="3:7" hidden="1">
      <c r="C564" s="1268" t="s">
        <v>2622</v>
      </c>
      <c r="D564" s="1241" t="s">
        <v>3357</v>
      </c>
      <c r="E564" s="1245" t="s">
        <v>38</v>
      </c>
      <c r="F564" s="2317" t="e">
        <f>+'VAL. PRINC'!#REF!</f>
        <v>#REF!</v>
      </c>
      <c r="G564" s="2296"/>
    </row>
    <row r="565" spans="3:7" hidden="1">
      <c r="C565" s="1268" t="s">
        <v>2623</v>
      </c>
      <c r="D565" s="1241" t="s">
        <v>3358</v>
      </c>
      <c r="E565" s="1245" t="s">
        <v>38</v>
      </c>
      <c r="F565" s="2317" t="e">
        <f>+'VAL. PRINC'!#REF!</f>
        <v>#REF!</v>
      </c>
      <c r="G565" s="2296"/>
    </row>
    <row r="566" spans="3:7" hidden="1">
      <c r="C566" s="1268" t="s">
        <v>2624</v>
      </c>
      <c r="D566" s="1241" t="s">
        <v>3359</v>
      </c>
      <c r="E566" s="1245" t="s">
        <v>38</v>
      </c>
      <c r="F566" s="2317" t="e">
        <f>+'VAL. PRINC'!#REF!</f>
        <v>#REF!</v>
      </c>
      <c r="G566" s="2296"/>
    </row>
    <row r="567" spans="3:7" hidden="1">
      <c r="C567" s="1268" t="s">
        <v>2625</v>
      </c>
      <c r="D567" s="1241" t="s">
        <v>3360</v>
      </c>
      <c r="E567" s="1245" t="s">
        <v>38</v>
      </c>
      <c r="F567" s="2317" t="e">
        <f>+'VAL. PRINC'!#REF!</f>
        <v>#REF!</v>
      </c>
      <c r="G567" s="2296"/>
    </row>
    <row r="568" spans="3:7">
      <c r="C568" s="1272" t="s">
        <v>503</v>
      </c>
      <c r="D568" s="1262" t="s">
        <v>3361</v>
      </c>
      <c r="E568" s="1273"/>
      <c r="F568" s="2317"/>
      <c r="G568" s="2296"/>
    </row>
    <row r="569" spans="3:7">
      <c r="C569" s="1268" t="s">
        <v>2626</v>
      </c>
      <c r="D569" s="1241" t="s">
        <v>3357</v>
      </c>
      <c r="E569" s="1245" t="s">
        <v>38</v>
      </c>
      <c r="F569" s="2317" t="e">
        <f>+'VAL. PRINC'!#REF!</f>
        <v>#REF!</v>
      </c>
      <c r="G569" s="2296"/>
    </row>
    <row r="570" spans="3:7">
      <c r="C570" s="1268" t="s">
        <v>2627</v>
      </c>
      <c r="D570" s="1241" t="s">
        <v>3362</v>
      </c>
      <c r="E570" s="1245" t="s">
        <v>38</v>
      </c>
      <c r="F570" s="2317" t="e">
        <f>+'VAL. PRINC'!#REF!</f>
        <v>#REF!</v>
      </c>
      <c r="G570" s="2296"/>
    </row>
    <row r="571" spans="3:7" hidden="1">
      <c r="C571" s="1268" t="s">
        <v>2628</v>
      </c>
      <c r="D571" s="1241" t="s">
        <v>3363</v>
      </c>
      <c r="E571" s="1245" t="s">
        <v>38</v>
      </c>
      <c r="F571" s="2317" t="e">
        <f>+'VAL. PRINC'!#REF!</f>
        <v>#REF!</v>
      </c>
      <c r="G571" s="2296"/>
    </row>
    <row r="572" spans="3:7">
      <c r="C572" s="1272" t="s">
        <v>504</v>
      </c>
      <c r="D572" s="1262" t="s">
        <v>3364</v>
      </c>
      <c r="E572" s="1273"/>
      <c r="F572" s="2317"/>
      <c r="G572" s="2296"/>
    </row>
    <row r="573" spans="3:7" hidden="1">
      <c r="C573" s="1268" t="s">
        <v>2629</v>
      </c>
      <c r="D573" s="1241" t="s">
        <v>3365</v>
      </c>
      <c r="E573" s="1245" t="s">
        <v>36</v>
      </c>
      <c r="F573" s="2317" t="e">
        <f>+'VAL. PRINC'!#REF!</f>
        <v>#REF!</v>
      </c>
      <c r="G573" s="2296"/>
    </row>
    <row r="574" spans="3:7" hidden="1">
      <c r="C574" s="1268" t="s">
        <v>2630</v>
      </c>
      <c r="D574" s="1241" t="s">
        <v>3366</v>
      </c>
      <c r="E574" s="1245" t="s">
        <v>36</v>
      </c>
      <c r="F574" s="2317" t="e">
        <f>+'VAL. PRINC'!#REF!</f>
        <v>#REF!</v>
      </c>
      <c r="G574" s="2296"/>
    </row>
    <row r="575" spans="3:7">
      <c r="C575" s="1268" t="s">
        <v>2631</v>
      </c>
      <c r="D575" s="1241" t="s">
        <v>3367</v>
      </c>
      <c r="E575" s="1245" t="s">
        <v>36</v>
      </c>
      <c r="F575" s="2317" t="e">
        <f>+'VAL. PRINC'!#REF!</f>
        <v>#REF!</v>
      </c>
      <c r="G575" s="2296"/>
    </row>
    <row r="576" spans="3:7" hidden="1">
      <c r="C576" s="1268" t="s">
        <v>2632</v>
      </c>
      <c r="D576" s="1241" t="s">
        <v>3368</v>
      </c>
      <c r="E576" s="1245" t="s">
        <v>36</v>
      </c>
      <c r="F576" s="2317" t="e">
        <f>+'VAL. PRINC'!#REF!</f>
        <v>#REF!</v>
      </c>
      <c r="G576" s="2296"/>
    </row>
    <row r="577" spans="3:7" hidden="1">
      <c r="C577" s="1268" t="s">
        <v>2633</v>
      </c>
      <c r="D577" s="1241" t="s">
        <v>3369</v>
      </c>
      <c r="E577" s="1245" t="s">
        <v>36</v>
      </c>
      <c r="F577" s="2317" t="e">
        <f>+'VAL. PRINC'!#REF!</f>
        <v>#REF!</v>
      </c>
      <c r="G577" s="2296"/>
    </row>
    <row r="578" spans="3:7" hidden="1">
      <c r="C578" s="1268" t="s">
        <v>2634</v>
      </c>
      <c r="D578" s="1241" t="s">
        <v>3370</v>
      </c>
      <c r="E578" s="1245" t="s">
        <v>36</v>
      </c>
      <c r="F578" s="2317" t="e">
        <f>+'VAL. PRINC'!#REF!</f>
        <v>#REF!</v>
      </c>
      <c r="G578" s="2296"/>
    </row>
    <row r="579" spans="3:7" hidden="1">
      <c r="C579" s="1268" t="s">
        <v>2635</v>
      </c>
      <c r="D579" s="1241" t="s">
        <v>3371</v>
      </c>
      <c r="E579" s="1245" t="s">
        <v>36</v>
      </c>
      <c r="F579" s="2317" t="e">
        <f>+'VAL. PRINC'!#REF!</f>
        <v>#REF!</v>
      </c>
      <c r="G579" s="2296"/>
    </row>
    <row r="580" spans="3:7" hidden="1">
      <c r="C580" s="1268" t="s">
        <v>2636</v>
      </c>
      <c r="D580" s="1241" t="s">
        <v>3372</v>
      </c>
      <c r="E580" s="1245" t="s">
        <v>36</v>
      </c>
      <c r="F580" s="2317" t="e">
        <f>+'VAL. PRINC'!#REF!</f>
        <v>#REF!</v>
      </c>
      <c r="G580" s="2296"/>
    </row>
    <row r="581" spans="3:7" hidden="1">
      <c r="C581" s="1268" t="s">
        <v>2637</v>
      </c>
      <c r="D581" s="1241" t="s">
        <v>3373</v>
      </c>
      <c r="E581" s="1245" t="s">
        <v>36</v>
      </c>
      <c r="F581" s="2317" t="e">
        <f>+'VAL. PRINC'!#REF!</f>
        <v>#REF!</v>
      </c>
      <c r="G581" s="2296"/>
    </row>
    <row r="582" spans="3:7" hidden="1">
      <c r="C582" s="1268" t="s">
        <v>2638</v>
      </c>
      <c r="D582" s="1241" t="s">
        <v>3374</v>
      </c>
      <c r="E582" s="1245" t="s">
        <v>36</v>
      </c>
      <c r="F582" s="2317" t="e">
        <f>+'VAL. PRINC'!#REF!</f>
        <v>#REF!</v>
      </c>
      <c r="G582" s="2296"/>
    </row>
    <row r="583" spans="3:7">
      <c r="C583" s="1268" t="s">
        <v>2639</v>
      </c>
      <c r="D583" s="1241" t="s">
        <v>3375</v>
      </c>
      <c r="E583" s="1245" t="s">
        <v>36</v>
      </c>
      <c r="F583" s="2317" t="e">
        <f>+'VAL. PRINC'!#REF!</f>
        <v>#REF!</v>
      </c>
      <c r="G583" s="2296"/>
    </row>
    <row r="584" spans="3:7" hidden="1">
      <c r="C584" s="1268" t="s">
        <v>2640</v>
      </c>
      <c r="D584" s="1241" t="s">
        <v>3376</v>
      </c>
      <c r="E584" s="1245" t="s">
        <v>36</v>
      </c>
      <c r="F584" s="2317" t="e">
        <f>+'VAL. PRINC'!#REF!</f>
        <v>#REF!</v>
      </c>
      <c r="G584" s="2296"/>
    </row>
    <row r="585" spans="3:7" hidden="1">
      <c r="C585" s="1268" t="s">
        <v>2641</v>
      </c>
      <c r="D585" s="1241" t="s">
        <v>3377</v>
      </c>
      <c r="E585" s="1245" t="s">
        <v>36</v>
      </c>
      <c r="F585" s="2317" t="e">
        <f>+'VAL. PRINC'!#REF!</f>
        <v>#REF!</v>
      </c>
      <c r="G585" s="2296"/>
    </row>
    <row r="586" spans="3:7" hidden="1">
      <c r="C586" s="1268" t="s">
        <v>2642</v>
      </c>
      <c r="D586" s="1241" t="s">
        <v>3378</v>
      </c>
      <c r="E586" s="1245" t="s">
        <v>36</v>
      </c>
      <c r="F586" s="2317" t="e">
        <f>+'VAL. PRINC'!#REF!</f>
        <v>#REF!</v>
      </c>
      <c r="G586" s="2296"/>
    </row>
    <row r="587" spans="3:7" hidden="1">
      <c r="C587" s="1268" t="s">
        <v>2643</v>
      </c>
      <c r="D587" s="1241" t="s">
        <v>3379</v>
      </c>
      <c r="E587" s="1245" t="s">
        <v>36</v>
      </c>
      <c r="F587" s="2317" t="e">
        <f>+'VAL. PRINC'!#REF!</f>
        <v>#REF!</v>
      </c>
      <c r="G587" s="2296"/>
    </row>
    <row r="588" spans="3:7" hidden="1">
      <c r="C588" s="1268" t="s">
        <v>2644</v>
      </c>
      <c r="D588" s="1241" t="s">
        <v>3380</v>
      </c>
      <c r="E588" s="1245" t="s">
        <v>36</v>
      </c>
      <c r="F588" s="2317" t="e">
        <f>+'VAL. PRINC'!#REF!</f>
        <v>#REF!</v>
      </c>
      <c r="G588" s="2296"/>
    </row>
    <row r="589" spans="3:7" hidden="1">
      <c r="C589" s="1268" t="s">
        <v>2645</v>
      </c>
      <c r="D589" s="1241" t="s">
        <v>3381</v>
      </c>
      <c r="E589" s="1245" t="s">
        <v>36</v>
      </c>
      <c r="F589" s="2317" t="e">
        <f>+'VAL. PRINC'!#REF!</f>
        <v>#REF!</v>
      </c>
      <c r="G589" s="2296"/>
    </row>
    <row r="590" spans="3:7">
      <c r="C590" s="1272" t="s">
        <v>1034</v>
      </c>
      <c r="D590" s="1262" t="s">
        <v>3382</v>
      </c>
      <c r="E590" s="1273"/>
      <c r="F590" s="2317"/>
      <c r="G590" s="2296"/>
    </row>
    <row r="591" spans="3:7">
      <c r="C591" s="1268" t="s">
        <v>2646</v>
      </c>
      <c r="D591" s="1241" t="s">
        <v>3383</v>
      </c>
      <c r="E591" s="1245" t="s">
        <v>36</v>
      </c>
      <c r="F591" s="2317" t="e">
        <f>+'VAL. PRINC'!#REF!</f>
        <v>#REF!</v>
      </c>
      <c r="G591" s="2296"/>
    </row>
    <row r="592" spans="3:7">
      <c r="C592" s="1268" t="s">
        <v>2647</v>
      </c>
      <c r="D592" s="1241" t="s">
        <v>3384</v>
      </c>
      <c r="E592" s="1245" t="s">
        <v>36</v>
      </c>
      <c r="F592" s="2317" t="e">
        <f>+'VAL. PRINC'!#REF!</f>
        <v>#REF!</v>
      </c>
      <c r="G592" s="2296"/>
    </row>
    <row r="593" spans="3:7" hidden="1">
      <c r="C593" s="1268" t="s">
        <v>2648</v>
      </c>
      <c r="D593" s="1241" t="s">
        <v>3385</v>
      </c>
      <c r="E593" s="1245" t="s">
        <v>36</v>
      </c>
      <c r="F593" s="2317" t="e">
        <f>+'VAL. PRINC'!#REF!</f>
        <v>#REF!</v>
      </c>
      <c r="G593" s="2296"/>
    </row>
    <row r="594" spans="3:7" hidden="1">
      <c r="C594" s="1268" t="s">
        <v>2649</v>
      </c>
      <c r="D594" s="1241" t="s">
        <v>3386</v>
      </c>
      <c r="E594" s="1245" t="s">
        <v>36</v>
      </c>
      <c r="F594" s="2317" t="e">
        <f>+'VAL. PRINC'!#REF!</f>
        <v>#REF!</v>
      </c>
      <c r="G594" s="2296"/>
    </row>
    <row r="595" spans="3:7" hidden="1">
      <c r="C595" s="1272" t="s">
        <v>2650</v>
      </c>
      <c r="D595" s="1262" t="s">
        <v>3387</v>
      </c>
      <c r="E595" s="1273"/>
      <c r="F595" s="2317"/>
      <c r="G595" s="2296"/>
    </row>
    <row r="596" spans="3:7" hidden="1">
      <c r="C596" s="1268" t="s">
        <v>2651</v>
      </c>
      <c r="D596" s="1241" t="s">
        <v>3388</v>
      </c>
      <c r="E596" s="1245" t="s">
        <v>36</v>
      </c>
      <c r="F596" s="2317" t="e">
        <f>+'VAL. PRINC'!#REF!</f>
        <v>#REF!</v>
      </c>
      <c r="G596" s="2296"/>
    </row>
    <row r="597" spans="3:7">
      <c r="C597" s="1272" t="s">
        <v>2652</v>
      </c>
      <c r="D597" s="1262" t="s">
        <v>3389</v>
      </c>
      <c r="E597" s="1273"/>
      <c r="F597" s="2317"/>
      <c r="G597" s="2296"/>
    </row>
    <row r="598" spans="3:7">
      <c r="C598" s="1268" t="s">
        <v>2653</v>
      </c>
      <c r="D598" s="1241" t="s">
        <v>3390</v>
      </c>
      <c r="E598" s="1245" t="s">
        <v>41</v>
      </c>
      <c r="F598" s="2317" t="e">
        <f>+'VAL. PRINC'!#REF!</f>
        <v>#REF!</v>
      </c>
      <c r="G598" s="2296"/>
    </row>
    <row r="599" spans="3:7" hidden="1">
      <c r="C599" s="1268" t="s">
        <v>2654</v>
      </c>
      <c r="D599" s="1241" t="s">
        <v>3391</v>
      </c>
      <c r="E599" s="1245" t="s">
        <v>41</v>
      </c>
      <c r="F599" s="2317" t="e">
        <f>+'VAL. PRINC'!#REF!</f>
        <v>#REF!</v>
      </c>
      <c r="G599" s="2296"/>
    </row>
    <row r="600" spans="3:7">
      <c r="C600" s="1568" t="s">
        <v>511</v>
      </c>
      <c r="D600" s="1270" t="s">
        <v>1383</v>
      </c>
      <c r="E600" s="1271"/>
      <c r="F600" s="2317"/>
      <c r="G600" s="2296"/>
    </row>
    <row r="601" spans="3:7">
      <c r="C601" s="1263" t="s">
        <v>512</v>
      </c>
      <c r="D601" s="1264" t="s">
        <v>2899</v>
      </c>
      <c r="E601" s="1265"/>
      <c r="F601" s="2317"/>
      <c r="G601" s="2296"/>
    </row>
    <row r="602" spans="3:7">
      <c r="C602" s="1268" t="s">
        <v>1053</v>
      </c>
      <c r="D602" s="1241" t="s">
        <v>3392</v>
      </c>
      <c r="E602" s="1245" t="s">
        <v>40</v>
      </c>
      <c r="F602" s="2317" t="e">
        <f>+'VAL. PRINC'!#REF!</f>
        <v>#REF!</v>
      </c>
      <c r="G602" s="2296"/>
    </row>
    <row r="603" spans="3:7">
      <c r="C603" s="1268" t="s">
        <v>1058</v>
      </c>
      <c r="D603" s="1241" t="s">
        <v>3393</v>
      </c>
      <c r="E603" s="1245" t="s">
        <v>40</v>
      </c>
      <c r="F603" s="2317" t="e">
        <f>+'VAL. PRINC'!#REF!</f>
        <v>#REF!</v>
      </c>
      <c r="G603" s="2296"/>
    </row>
    <row r="604" spans="3:7">
      <c r="C604" s="1268" t="s">
        <v>1061</v>
      </c>
      <c r="D604" s="1241" t="s">
        <v>3394</v>
      </c>
      <c r="E604" s="1245" t="s">
        <v>40</v>
      </c>
      <c r="F604" s="2317" t="e">
        <f>+'VAL. PRINC'!#REF!</f>
        <v>#REF!</v>
      </c>
      <c r="G604" s="2296"/>
    </row>
    <row r="605" spans="3:7">
      <c r="C605" s="1268" t="s">
        <v>1067</v>
      </c>
      <c r="D605" s="1241" t="s">
        <v>3395</v>
      </c>
      <c r="E605" s="1245" t="s">
        <v>40</v>
      </c>
      <c r="F605" s="2317" t="e">
        <f>+'VAL. PRINC'!#REF!</f>
        <v>#REF!</v>
      </c>
      <c r="G605" s="2296"/>
    </row>
    <row r="606" spans="3:7">
      <c r="C606" s="1268" t="s">
        <v>1071</v>
      </c>
      <c r="D606" s="1241" t="s">
        <v>3396</v>
      </c>
      <c r="E606" s="1245" t="s">
        <v>40</v>
      </c>
      <c r="F606" s="2317" t="e">
        <f>+'VAL. PRINC'!#REF!</f>
        <v>#REF!</v>
      </c>
      <c r="G606" s="2296"/>
    </row>
    <row r="607" spans="3:7">
      <c r="C607" s="1263" t="s">
        <v>513</v>
      </c>
      <c r="D607" s="1264" t="s">
        <v>2906</v>
      </c>
      <c r="E607" s="1265"/>
      <c r="F607" s="2317"/>
      <c r="G607" s="2296"/>
    </row>
    <row r="608" spans="3:7">
      <c r="C608" s="1268" t="s">
        <v>1087</v>
      </c>
      <c r="D608" s="1241" t="s">
        <v>3397</v>
      </c>
      <c r="E608" s="1245" t="s">
        <v>36</v>
      </c>
      <c r="F608" s="2317" t="e">
        <f>+'VAL. PRINC'!#REF!</f>
        <v>#REF!</v>
      </c>
      <c r="G608" s="2296"/>
    </row>
    <row r="609" spans="3:7">
      <c r="C609" s="1268" t="s">
        <v>1089</v>
      </c>
      <c r="D609" s="1241" t="s">
        <v>3398</v>
      </c>
      <c r="E609" s="1245" t="s">
        <v>36</v>
      </c>
      <c r="F609" s="2317" t="e">
        <f>+'VAL. PRINC'!#REF!</f>
        <v>#REF!</v>
      </c>
      <c r="G609" s="2296"/>
    </row>
    <row r="610" spans="3:7" hidden="1">
      <c r="C610" s="1263" t="s">
        <v>1097</v>
      </c>
      <c r="D610" s="1264" t="s">
        <v>3399</v>
      </c>
      <c r="E610" s="1265"/>
      <c r="F610" s="2317"/>
      <c r="G610" s="2296"/>
    </row>
    <row r="611" spans="3:7" hidden="1">
      <c r="C611" s="1268" t="s">
        <v>1098</v>
      </c>
      <c r="D611" s="1241" t="s">
        <v>3400</v>
      </c>
      <c r="E611" s="1245" t="s">
        <v>1454</v>
      </c>
      <c r="F611" s="2317" t="e">
        <f>+'VAL. PRINC'!#REF!</f>
        <v>#REF!</v>
      </c>
      <c r="G611" s="2296"/>
    </row>
    <row r="612" spans="3:7" hidden="1">
      <c r="C612" s="1268" t="s">
        <v>1100</v>
      </c>
      <c r="D612" s="1241" t="s">
        <v>3401</v>
      </c>
      <c r="E612" s="1245" t="s">
        <v>36</v>
      </c>
      <c r="F612" s="2317" t="e">
        <f>+'VAL. PRINC'!#REF!</f>
        <v>#REF!</v>
      </c>
      <c r="G612" s="2296"/>
    </row>
    <row r="613" spans="3:7" hidden="1">
      <c r="C613" s="1263" t="s">
        <v>1114</v>
      </c>
      <c r="D613" s="1264" t="s">
        <v>3402</v>
      </c>
      <c r="E613" s="1265"/>
      <c r="F613" s="2317" t="e">
        <f>+'VAL. PRINC'!#REF!</f>
        <v>#REF!</v>
      </c>
      <c r="G613" s="2296"/>
    </row>
    <row r="614" spans="3:7" hidden="1">
      <c r="C614" s="1272" t="s">
        <v>1115</v>
      </c>
      <c r="D614" s="1262" t="s">
        <v>3403</v>
      </c>
      <c r="E614" s="1273"/>
      <c r="F614" s="2317" t="e">
        <f>+'VAL. PRINC'!#REF!</f>
        <v>#REF!</v>
      </c>
      <c r="G614" s="2296"/>
    </row>
    <row r="615" spans="3:7" hidden="1">
      <c r="C615" s="1268" t="s">
        <v>1116</v>
      </c>
      <c r="D615" s="1241" t="s">
        <v>3404</v>
      </c>
      <c r="E615" s="1245" t="s">
        <v>2829</v>
      </c>
      <c r="F615" s="2317" t="e">
        <f>+'VAL. PRINC'!#REF!</f>
        <v>#REF!</v>
      </c>
      <c r="G615" s="2296"/>
    </row>
    <row r="616" spans="3:7" hidden="1">
      <c r="C616" s="1268" t="s">
        <v>2655</v>
      </c>
      <c r="D616" s="1241" t="s">
        <v>3405</v>
      </c>
      <c r="E616" s="1245" t="s">
        <v>2829</v>
      </c>
      <c r="F616" s="2317" t="e">
        <f>+'VAL. PRINC'!#REF!</f>
        <v>#REF!</v>
      </c>
      <c r="G616" s="2296"/>
    </row>
    <row r="617" spans="3:7" hidden="1">
      <c r="C617" s="1268" t="s">
        <v>2656</v>
      </c>
      <c r="D617" s="1241" t="s">
        <v>3406</v>
      </c>
      <c r="E617" s="1245" t="s">
        <v>2829</v>
      </c>
      <c r="F617" s="2317" t="e">
        <f>+'VAL. PRINC'!#REF!</f>
        <v>#REF!</v>
      </c>
      <c r="G617" s="2296"/>
    </row>
    <row r="618" spans="3:7" hidden="1">
      <c r="C618" s="1268" t="s">
        <v>2657</v>
      </c>
      <c r="D618" s="1241" t="s">
        <v>3407</v>
      </c>
      <c r="E618" s="1245" t="s">
        <v>2829</v>
      </c>
      <c r="F618" s="2317" t="e">
        <f>+'VAL. PRINC'!#REF!</f>
        <v>#REF!</v>
      </c>
      <c r="G618" s="2296"/>
    </row>
    <row r="619" spans="3:7" hidden="1">
      <c r="C619" s="1268" t="s">
        <v>2658</v>
      </c>
      <c r="D619" s="1241" t="s">
        <v>3408</v>
      </c>
      <c r="E619" s="1245" t="s">
        <v>2829</v>
      </c>
      <c r="F619" s="2317" t="e">
        <f>+'VAL. PRINC'!#REF!</f>
        <v>#REF!</v>
      </c>
      <c r="G619" s="2296"/>
    </row>
    <row r="620" spans="3:7" hidden="1">
      <c r="C620" s="1268" t="s">
        <v>2659</v>
      </c>
      <c r="D620" s="1241" t="s">
        <v>3409</v>
      </c>
      <c r="E620" s="1245" t="s">
        <v>2829</v>
      </c>
      <c r="F620" s="2317" t="e">
        <f>+'VAL. PRINC'!#REF!</f>
        <v>#REF!</v>
      </c>
      <c r="G620" s="2296"/>
    </row>
    <row r="621" spans="3:7" hidden="1">
      <c r="C621" s="1268" t="s">
        <v>2660</v>
      </c>
      <c r="D621" s="1241" t="s">
        <v>3410</v>
      </c>
      <c r="E621" s="1245" t="s">
        <v>2829</v>
      </c>
      <c r="F621" s="2317" t="e">
        <f>+'VAL. PRINC'!#REF!</f>
        <v>#REF!</v>
      </c>
      <c r="G621" s="2296"/>
    </row>
    <row r="622" spans="3:7" hidden="1">
      <c r="C622" s="1268" t="s">
        <v>2661</v>
      </c>
      <c r="D622" s="1241" t="s">
        <v>3411</v>
      </c>
      <c r="E622" s="1245" t="s">
        <v>2829</v>
      </c>
      <c r="F622" s="2317" t="e">
        <f>+'VAL. PRINC'!#REF!</f>
        <v>#REF!</v>
      </c>
      <c r="G622" s="2296"/>
    </row>
    <row r="623" spans="3:7" hidden="1">
      <c r="C623" s="1268" t="s">
        <v>2662</v>
      </c>
      <c r="D623" s="1241" t="s">
        <v>3412</v>
      </c>
      <c r="E623" s="1245" t="s">
        <v>2829</v>
      </c>
      <c r="F623" s="2317" t="e">
        <f>+'VAL. PRINC'!#REF!</f>
        <v>#REF!</v>
      </c>
      <c r="G623" s="2296"/>
    </row>
    <row r="624" spans="3:7" hidden="1">
      <c r="C624" s="1268" t="s">
        <v>2663</v>
      </c>
      <c r="D624" s="1241" t="s">
        <v>3413</v>
      </c>
      <c r="E624" s="1245" t="s">
        <v>2829</v>
      </c>
      <c r="F624" s="2317" t="e">
        <f>+'VAL. PRINC'!#REF!</f>
        <v>#REF!</v>
      </c>
      <c r="G624" s="2296"/>
    </row>
    <row r="625" spans="3:7" hidden="1">
      <c r="C625" s="1268" t="s">
        <v>2664</v>
      </c>
      <c r="D625" s="1241" t="s">
        <v>3414</v>
      </c>
      <c r="E625" s="1245" t="s">
        <v>2829</v>
      </c>
      <c r="F625" s="2317" t="e">
        <f>+'VAL. PRINC'!#REF!</f>
        <v>#REF!</v>
      </c>
      <c r="G625" s="2296"/>
    </row>
    <row r="626" spans="3:7" hidden="1">
      <c r="C626" s="1268" t="s">
        <v>2665</v>
      </c>
      <c r="D626" s="1241" t="s">
        <v>3415</v>
      </c>
      <c r="E626" s="1245" t="s">
        <v>2829</v>
      </c>
      <c r="F626" s="2317" t="e">
        <f>+'VAL. PRINC'!#REF!</f>
        <v>#REF!</v>
      </c>
      <c r="G626" s="2296"/>
    </row>
    <row r="627" spans="3:7" hidden="1">
      <c r="C627" s="1268" t="s">
        <v>2666</v>
      </c>
      <c r="D627" s="1241" t="s">
        <v>3416</v>
      </c>
      <c r="E627" s="1245" t="s">
        <v>2829</v>
      </c>
      <c r="F627" s="2317" t="e">
        <f>+'VAL. PRINC'!#REF!</f>
        <v>#REF!</v>
      </c>
      <c r="G627" s="2296"/>
    </row>
    <row r="628" spans="3:7" hidden="1">
      <c r="C628" s="1268" t="s">
        <v>2667</v>
      </c>
      <c r="D628" s="1241" t="s">
        <v>3417</v>
      </c>
      <c r="E628" s="1245" t="s">
        <v>2829</v>
      </c>
      <c r="F628" s="2317" t="e">
        <f>+'VAL. PRINC'!#REF!</f>
        <v>#REF!</v>
      </c>
      <c r="G628" s="2296"/>
    </row>
    <row r="629" spans="3:7" hidden="1">
      <c r="C629" s="1268" t="s">
        <v>2668</v>
      </c>
      <c r="D629" s="1241" t="s">
        <v>3418</v>
      </c>
      <c r="E629" s="1245" t="s">
        <v>2829</v>
      </c>
      <c r="F629" s="2317" t="e">
        <f>+'VAL. PRINC'!#REF!</f>
        <v>#REF!</v>
      </c>
      <c r="G629" s="2296"/>
    </row>
    <row r="630" spans="3:7" hidden="1">
      <c r="C630" s="1268" t="s">
        <v>2669</v>
      </c>
      <c r="D630" s="1241" t="s">
        <v>3419</v>
      </c>
      <c r="E630" s="1245" t="s">
        <v>2829</v>
      </c>
      <c r="F630" s="2317" t="e">
        <f>+'VAL. PRINC'!#REF!</f>
        <v>#REF!</v>
      </c>
      <c r="G630" s="2296"/>
    </row>
    <row r="631" spans="3:7" hidden="1">
      <c r="C631" s="1268" t="s">
        <v>2670</v>
      </c>
      <c r="D631" s="1241" t="s">
        <v>3420</v>
      </c>
      <c r="E631" s="1245" t="s">
        <v>2829</v>
      </c>
      <c r="F631" s="2317" t="e">
        <f>+'VAL. PRINC'!#REF!</f>
        <v>#REF!</v>
      </c>
      <c r="G631" s="2296"/>
    </row>
    <row r="632" spans="3:7" hidden="1">
      <c r="C632" s="1268" t="s">
        <v>2671</v>
      </c>
      <c r="D632" s="1241" t="s">
        <v>3421</v>
      </c>
      <c r="E632" s="1245" t="s">
        <v>2829</v>
      </c>
      <c r="F632" s="2317" t="e">
        <f>+'VAL. PRINC'!#REF!</f>
        <v>#REF!</v>
      </c>
      <c r="G632" s="2296"/>
    </row>
    <row r="633" spans="3:7" hidden="1">
      <c r="C633" s="1268" t="s">
        <v>2672</v>
      </c>
      <c r="D633" s="1241" t="s">
        <v>3422</v>
      </c>
      <c r="E633" s="1245" t="s">
        <v>2829</v>
      </c>
      <c r="F633" s="2317" t="e">
        <f>+'VAL. PRINC'!#REF!</f>
        <v>#REF!</v>
      </c>
      <c r="G633" s="2296"/>
    </row>
    <row r="634" spans="3:7" hidden="1">
      <c r="C634" s="1268" t="s">
        <v>2673</v>
      </c>
      <c r="D634" s="1241" t="s">
        <v>3423</v>
      </c>
      <c r="E634" s="1245" t="s">
        <v>2829</v>
      </c>
      <c r="F634" s="2317" t="e">
        <f>+'VAL. PRINC'!#REF!</f>
        <v>#REF!</v>
      </c>
      <c r="G634" s="2296"/>
    </row>
    <row r="635" spans="3:7" hidden="1">
      <c r="C635" s="1268" t="s">
        <v>2674</v>
      </c>
      <c r="D635" s="1241" t="s">
        <v>3424</v>
      </c>
      <c r="E635" s="1245" t="s">
        <v>2829</v>
      </c>
      <c r="F635" s="2317" t="e">
        <f>+'VAL. PRINC'!#REF!</f>
        <v>#REF!</v>
      </c>
      <c r="G635" s="2296"/>
    </row>
    <row r="636" spans="3:7" hidden="1">
      <c r="C636" s="1268" t="s">
        <v>2675</v>
      </c>
      <c r="D636" s="1241" t="s">
        <v>3425</v>
      </c>
      <c r="E636" s="1245" t="s">
        <v>2829</v>
      </c>
      <c r="F636" s="2317" t="e">
        <f>+'VAL. PRINC'!#REF!</f>
        <v>#REF!</v>
      </c>
      <c r="G636" s="2296"/>
    </row>
    <row r="637" spans="3:7" hidden="1">
      <c r="C637" s="1268" t="s">
        <v>2676</v>
      </c>
      <c r="D637" s="1241" t="s">
        <v>3426</v>
      </c>
      <c r="E637" s="1245" t="s">
        <v>2829</v>
      </c>
      <c r="F637" s="2317" t="e">
        <f>+'VAL. PRINC'!#REF!</f>
        <v>#REF!</v>
      </c>
      <c r="G637" s="2296"/>
    </row>
    <row r="638" spans="3:7" hidden="1">
      <c r="C638" s="1268" t="s">
        <v>2677</v>
      </c>
      <c r="D638" s="1241" t="s">
        <v>3427</v>
      </c>
      <c r="E638" s="1245" t="s">
        <v>2829</v>
      </c>
      <c r="F638" s="2317" t="e">
        <f>+'VAL. PRINC'!#REF!</f>
        <v>#REF!</v>
      </c>
      <c r="G638" s="2296"/>
    </row>
    <row r="639" spans="3:7" hidden="1">
      <c r="C639" s="1268" t="s">
        <v>2678</v>
      </c>
      <c r="D639" s="1241" t="s">
        <v>3428</v>
      </c>
      <c r="E639" s="1245" t="s">
        <v>2829</v>
      </c>
      <c r="F639" s="2317" t="e">
        <f>+'VAL. PRINC'!#REF!</f>
        <v>#REF!</v>
      </c>
      <c r="G639" s="2296"/>
    </row>
    <row r="640" spans="3:7" hidden="1">
      <c r="C640" s="1268" t="s">
        <v>2679</v>
      </c>
      <c r="D640" s="1241" t="s">
        <v>3429</v>
      </c>
      <c r="E640" s="1245" t="s">
        <v>2829</v>
      </c>
      <c r="F640" s="2317" t="e">
        <f>+'VAL. PRINC'!#REF!</f>
        <v>#REF!</v>
      </c>
      <c r="G640" s="2296"/>
    </row>
    <row r="641" spans="3:7" hidden="1">
      <c r="C641" s="1272" t="s">
        <v>1117</v>
      </c>
      <c r="D641" s="1262" t="s">
        <v>3430</v>
      </c>
      <c r="E641" s="1273"/>
      <c r="F641" s="2317" t="e">
        <f>+'VAL. PRINC'!#REF!</f>
        <v>#REF!</v>
      </c>
      <c r="G641" s="2296"/>
    </row>
    <row r="642" spans="3:7" hidden="1">
      <c r="C642" s="1268" t="s">
        <v>1118</v>
      </c>
      <c r="D642" s="1241" t="s">
        <v>3431</v>
      </c>
      <c r="E642" s="1245" t="s">
        <v>2829</v>
      </c>
      <c r="F642" s="2317" t="e">
        <f>+'VAL. PRINC'!#REF!</f>
        <v>#REF!</v>
      </c>
      <c r="G642" s="2296"/>
    </row>
    <row r="643" spans="3:7" hidden="1">
      <c r="C643" s="1268" t="s">
        <v>2680</v>
      </c>
      <c r="D643" s="1241" t="s">
        <v>3432</v>
      </c>
      <c r="E643" s="1245" t="s">
        <v>2829</v>
      </c>
      <c r="F643" s="2317" t="e">
        <f>+'VAL. PRINC'!#REF!</f>
        <v>#REF!</v>
      </c>
      <c r="G643" s="2296"/>
    </row>
    <row r="644" spans="3:7" hidden="1">
      <c r="C644" s="1268" t="s">
        <v>2681</v>
      </c>
      <c r="D644" s="1241" t="s">
        <v>3433</v>
      </c>
      <c r="E644" s="1245" t="s">
        <v>2829</v>
      </c>
      <c r="F644" s="2317" t="e">
        <f>+'VAL. PRINC'!#REF!</f>
        <v>#REF!</v>
      </c>
      <c r="G644" s="2296"/>
    </row>
    <row r="645" spans="3:7" hidden="1">
      <c r="C645" s="1268" t="s">
        <v>2682</v>
      </c>
      <c r="D645" s="1241" t="s">
        <v>3434</v>
      </c>
      <c r="E645" s="1245" t="s">
        <v>2829</v>
      </c>
      <c r="F645" s="2317" t="e">
        <f>+'VAL. PRINC'!#REF!</f>
        <v>#REF!</v>
      </c>
      <c r="G645" s="2296"/>
    </row>
    <row r="646" spans="3:7" hidden="1">
      <c r="C646" s="1268" t="s">
        <v>2683</v>
      </c>
      <c r="D646" s="1241" t="s">
        <v>3435</v>
      </c>
      <c r="E646" s="1245" t="s">
        <v>2829</v>
      </c>
      <c r="F646" s="2317" t="e">
        <f>+'VAL. PRINC'!#REF!</f>
        <v>#REF!</v>
      </c>
      <c r="G646" s="2296"/>
    </row>
    <row r="647" spans="3:7" hidden="1">
      <c r="C647" s="1268" t="s">
        <v>2684</v>
      </c>
      <c r="D647" s="1241" t="s">
        <v>3436</v>
      </c>
      <c r="E647" s="1245" t="s">
        <v>2829</v>
      </c>
      <c r="F647" s="2317" t="e">
        <f>+'VAL. PRINC'!#REF!</f>
        <v>#REF!</v>
      </c>
      <c r="G647" s="2296"/>
    </row>
    <row r="648" spans="3:7" hidden="1">
      <c r="C648" s="1268" t="s">
        <v>2685</v>
      </c>
      <c r="D648" s="1241" t="s">
        <v>3437</v>
      </c>
      <c r="E648" s="1245" t="s">
        <v>2829</v>
      </c>
      <c r="F648" s="2317" t="e">
        <f>+'VAL. PRINC'!#REF!</f>
        <v>#REF!</v>
      </c>
      <c r="G648" s="2296"/>
    </row>
    <row r="649" spans="3:7" hidden="1">
      <c r="C649" s="1268" t="s">
        <v>2686</v>
      </c>
      <c r="D649" s="1241" t="s">
        <v>3438</v>
      </c>
      <c r="E649" s="1245" t="s">
        <v>2829</v>
      </c>
      <c r="F649" s="2317" t="e">
        <f>+'VAL. PRINC'!#REF!</f>
        <v>#REF!</v>
      </c>
      <c r="G649" s="2296"/>
    </row>
    <row r="650" spans="3:7" hidden="1">
      <c r="C650" s="1268" t="s">
        <v>2687</v>
      </c>
      <c r="D650" s="1241" t="s">
        <v>3439</v>
      </c>
      <c r="E650" s="1245" t="s">
        <v>2829</v>
      </c>
      <c r="F650" s="2317" t="e">
        <f>+'VAL. PRINC'!#REF!</f>
        <v>#REF!</v>
      </c>
      <c r="G650" s="2296"/>
    </row>
    <row r="651" spans="3:7" hidden="1">
      <c r="C651" s="1268" t="s">
        <v>2688</v>
      </c>
      <c r="D651" s="1241" t="s">
        <v>3440</v>
      </c>
      <c r="E651" s="1245" t="s">
        <v>2829</v>
      </c>
      <c r="F651" s="2317" t="e">
        <f>+'VAL. PRINC'!#REF!</f>
        <v>#REF!</v>
      </c>
      <c r="G651" s="2296"/>
    </row>
    <row r="652" spans="3:7" hidden="1">
      <c r="C652" s="1268" t="s">
        <v>2689</v>
      </c>
      <c r="D652" s="1241" t="s">
        <v>3441</v>
      </c>
      <c r="E652" s="1245" t="s">
        <v>2829</v>
      </c>
      <c r="F652" s="2317" t="e">
        <f>+'VAL. PRINC'!#REF!</f>
        <v>#REF!</v>
      </c>
      <c r="G652" s="2296"/>
    </row>
    <row r="653" spans="3:7" hidden="1">
      <c r="C653" s="1268" t="s">
        <v>2690</v>
      </c>
      <c r="D653" s="1241" t="s">
        <v>3442</v>
      </c>
      <c r="E653" s="1245" t="s">
        <v>2829</v>
      </c>
      <c r="F653" s="2317" t="e">
        <f>+'VAL. PRINC'!#REF!</f>
        <v>#REF!</v>
      </c>
      <c r="G653" s="2296"/>
    </row>
    <row r="654" spans="3:7" hidden="1">
      <c r="C654" s="1268" t="s">
        <v>2691</v>
      </c>
      <c r="D654" s="1241" t="s">
        <v>3443</v>
      </c>
      <c r="E654" s="1245" t="s">
        <v>2829</v>
      </c>
      <c r="F654" s="2317" t="e">
        <f>+'VAL. PRINC'!#REF!</f>
        <v>#REF!</v>
      </c>
      <c r="G654" s="2296"/>
    </row>
    <row r="655" spans="3:7" hidden="1">
      <c r="C655" s="1268" t="s">
        <v>2692</v>
      </c>
      <c r="D655" s="1241" t="s">
        <v>3444</v>
      </c>
      <c r="E655" s="1245" t="s">
        <v>2829</v>
      </c>
      <c r="F655" s="2317" t="e">
        <f>+'VAL. PRINC'!#REF!</f>
        <v>#REF!</v>
      </c>
      <c r="G655" s="2296"/>
    </row>
    <row r="656" spans="3:7" hidden="1">
      <c r="C656" s="1268" t="s">
        <v>2693</v>
      </c>
      <c r="D656" s="1241" t="s">
        <v>3445</v>
      </c>
      <c r="E656" s="1245" t="s">
        <v>2829</v>
      </c>
      <c r="F656" s="2317" t="e">
        <f>+'VAL. PRINC'!#REF!</f>
        <v>#REF!</v>
      </c>
      <c r="G656" s="2296"/>
    </row>
    <row r="657" spans="3:7" hidden="1">
      <c r="C657" s="1268" t="s">
        <v>2694</v>
      </c>
      <c r="D657" s="1241" t="s">
        <v>3446</v>
      </c>
      <c r="E657" s="1245" t="s">
        <v>2829</v>
      </c>
      <c r="F657" s="2317" t="e">
        <f>+'VAL. PRINC'!#REF!</f>
        <v>#REF!</v>
      </c>
      <c r="G657" s="2296"/>
    </row>
    <row r="658" spans="3:7" hidden="1">
      <c r="C658" s="1268" t="s">
        <v>2695</v>
      </c>
      <c r="D658" s="1241" t="s">
        <v>3447</v>
      </c>
      <c r="E658" s="1245" t="s">
        <v>2829</v>
      </c>
      <c r="F658" s="2317" t="e">
        <f>+'VAL. PRINC'!#REF!</f>
        <v>#REF!</v>
      </c>
      <c r="G658" s="2296"/>
    </row>
    <row r="659" spans="3:7" hidden="1">
      <c r="C659" s="1268" t="s">
        <v>2696</v>
      </c>
      <c r="D659" s="1241" t="s">
        <v>3448</v>
      </c>
      <c r="E659" s="1245" t="s">
        <v>2829</v>
      </c>
      <c r="F659" s="2317" t="e">
        <f>+'VAL. PRINC'!#REF!</f>
        <v>#REF!</v>
      </c>
      <c r="G659" s="2296"/>
    </row>
    <row r="660" spans="3:7" hidden="1">
      <c r="C660" s="1272" t="s">
        <v>1119</v>
      </c>
      <c r="D660" s="1262" t="s">
        <v>3449</v>
      </c>
      <c r="E660" s="1273"/>
      <c r="F660" s="2317" t="e">
        <f>+'VAL. PRINC'!#REF!</f>
        <v>#REF!</v>
      </c>
      <c r="G660" s="2296"/>
    </row>
    <row r="661" spans="3:7" hidden="1">
      <c r="C661" s="1268" t="s">
        <v>1120</v>
      </c>
      <c r="D661" s="1241" t="s">
        <v>3450</v>
      </c>
      <c r="E661" s="1245" t="s">
        <v>38</v>
      </c>
      <c r="F661" s="2317" t="e">
        <f>+'VAL. PRINC'!#REF!</f>
        <v>#REF!</v>
      </c>
      <c r="G661" s="2296"/>
    </row>
    <row r="662" spans="3:7" hidden="1">
      <c r="C662" s="1268" t="s">
        <v>2697</v>
      </c>
      <c r="D662" s="1241" t="s">
        <v>3451</v>
      </c>
      <c r="E662" s="1245" t="s">
        <v>36</v>
      </c>
      <c r="F662" s="2317" t="e">
        <f>+'VAL. PRINC'!#REF!</f>
        <v>#REF!</v>
      </c>
      <c r="G662" s="2296"/>
    </row>
    <row r="663" spans="3:7" hidden="1">
      <c r="C663" s="1268" t="s">
        <v>2698</v>
      </c>
      <c r="D663" s="1241" t="s">
        <v>3452</v>
      </c>
      <c r="E663" s="1245" t="s">
        <v>36</v>
      </c>
      <c r="F663" s="2317" t="e">
        <f>+'VAL. PRINC'!#REF!</f>
        <v>#REF!</v>
      </c>
      <c r="G663" s="2296"/>
    </row>
    <row r="664" spans="3:7" hidden="1">
      <c r="C664" s="1272" t="s">
        <v>1121</v>
      </c>
      <c r="D664" s="1262" t="s">
        <v>3453</v>
      </c>
      <c r="E664" s="1273"/>
      <c r="F664" s="2317" t="e">
        <f>+'VAL. PRINC'!#REF!</f>
        <v>#REF!</v>
      </c>
      <c r="G664" s="2296"/>
    </row>
    <row r="665" spans="3:7" hidden="1">
      <c r="C665" s="1268" t="s">
        <v>1122</v>
      </c>
      <c r="D665" s="1241" t="s">
        <v>3454</v>
      </c>
      <c r="E665" s="1245" t="s">
        <v>38</v>
      </c>
      <c r="F665" s="2317" t="e">
        <f>+'VAL. PRINC'!#REF!</f>
        <v>#REF!</v>
      </c>
      <c r="G665" s="2296"/>
    </row>
    <row r="666" spans="3:7" hidden="1">
      <c r="C666" s="1268" t="s">
        <v>1123</v>
      </c>
      <c r="D666" s="1241" t="s">
        <v>3455</v>
      </c>
      <c r="E666" s="1245" t="s">
        <v>38</v>
      </c>
      <c r="F666" s="2317" t="e">
        <f>+'VAL. PRINC'!#REF!</f>
        <v>#REF!</v>
      </c>
      <c r="G666" s="2296"/>
    </row>
    <row r="667" spans="3:7" hidden="1">
      <c r="C667" s="1268" t="s">
        <v>2699</v>
      </c>
      <c r="D667" s="1241" t="s">
        <v>3456</v>
      </c>
      <c r="E667" s="1245" t="s">
        <v>38</v>
      </c>
      <c r="F667" s="2317" t="e">
        <f>+'VAL. PRINC'!#REF!</f>
        <v>#REF!</v>
      </c>
      <c r="G667" s="2296"/>
    </row>
    <row r="668" spans="3:7">
      <c r="C668" s="1263" t="s">
        <v>2700</v>
      </c>
      <c r="D668" s="1264" t="s">
        <v>3457</v>
      </c>
      <c r="E668" s="1265"/>
      <c r="F668" s="2317"/>
      <c r="G668" s="2296"/>
    </row>
    <row r="669" spans="3:7">
      <c r="C669" s="1272" t="s">
        <v>2701</v>
      </c>
      <c r="D669" s="1262" t="s">
        <v>3449</v>
      </c>
      <c r="E669" s="1273"/>
      <c r="F669" s="2317"/>
      <c r="G669" s="2296"/>
    </row>
    <row r="670" spans="3:7">
      <c r="C670" s="1268" t="s">
        <v>2702</v>
      </c>
      <c r="D670" s="1241" t="s">
        <v>3458</v>
      </c>
      <c r="E670" s="1245" t="s">
        <v>38</v>
      </c>
      <c r="F670" s="2317" t="e">
        <f>+'VAL. PRINC'!#REF!</f>
        <v>#REF!</v>
      </c>
      <c r="G670" s="2296"/>
    </row>
    <row r="671" spans="3:7" hidden="1">
      <c r="C671" s="1268" t="s">
        <v>2703</v>
      </c>
      <c r="D671" s="1241" t="s">
        <v>3459</v>
      </c>
      <c r="E671" s="1245" t="s">
        <v>38</v>
      </c>
      <c r="F671" s="2317" t="e">
        <f>+'VAL. PRINC'!#REF!</f>
        <v>#REF!</v>
      </c>
      <c r="G671" s="2296"/>
    </row>
    <row r="672" spans="3:7" hidden="1">
      <c r="C672" s="1268" t="s">
        <v>2704</v>
      </c>
      <c r="D672" s="1241" t="s">
        <v>3460</v>
      </c>
      <c r="E672" s="1245" t="s">
        <v>36</v>
      </c>
      <c r="F672" s="2317" t="e">
        <f>+'VAL. PRINC'!#REF!</f>
        <v>#REF!</v>
      </c>
      <c r="G672" s="2296"/>
    </row>
    <row r="673" spans="3:7" hidden="1">
      <c r="C673" s="1268" t="s">
        <v>2705</v>
      </c>
      <c r="D673" s="1241" t="s">
        <v>3461</v>
      </c>
      <c r="E673" s="1245" t="s">
        <v>36</v>
      </c>
      <c r="F673" s="2317" t="e">
        <f>+'VAL. PRINC'!#REF!</f>
        <v>#REF!</v>
      </c>
      <c r="G673" s="2296"/>
    </row>
    <row r="674" spans="3:7">
      <c r="C674" s="1272" t="s">
        <v>2706</v>
      </c>
      <c r="D674" s="1262" t="s">
        <v>3453</v>
      </c>
      <c r="E674" s="1273"/>
      <c r="F674" s="2317"/>
      <c r="G674" s="2296"/>
    </row>
    <row r="675" spans="3:7">
      <c r="C675" s="1268" t="s">
        <v>2707</v>
      </c>
      <c r="D675" s="1241" t="s">
        <v>3462</v>
      </c>
      <c r="E675" s="1245" t="s">
        <v>38</v>
      </c>
      <c r="F675" s="2317" t="e">
        <f>+'VAL. PRINC'!#REF!</f>
        <v>#REF!</v>
      </c>
      <c r="G675" s="2296"/>
    </row>
    <row r="676" spans="3:7" hidden="1">
      <c r="C676" s="1268" t="s">
        <v>2708</v>
      </c>
      <c r="D676" s="1241" t="s">
        <v>3463</v>
      </c>
      <c r="E676" s="1245" t="s">
        <v>38</v>
      </c>
      <c r="F676" s="2317" t="e">
        <f>+'VAL. PRINC'!#REF!</f>
        <v>#REF!</v>
      </c>
      <c r="G676" s="2296"/>
    </row>
    <row r="677" spans="3:7" hidden="1">
      <c r="C677" s="1272" t="s">
        <v>2709</v>
      </c>
      <c r="D677" s="1262" t="s">
        <v>3464</v>
      </c>
      <c r="E677" s="1273"/>
      <c r="F677" s="2317"/>
      <c r="G677" s="2296"/>
    </row>
    <row r="678" spans="3:7" hidden="1">
      <c r="C678" s="1268" t="s">
        <v>2710</v>
      </c>
      <c r="D678" s="1241" t="s">
        <v>3465</v>
      </c>
      <c r="E678" s="1245" t="s">
        <v>1452</v>
      </c>
      <c r="F678" s="2317" t="e">
        <f>+'VAL. PRINC'!#REF!</f>
        <v>#REF!</v>
      </c>
      <c r="G678" s="2296"/>
    </row>
    <row r="679" spans="3:7" hidden="1">
      <c r="C679" s="1268" t="s">
        <v>2711</v>
      </c>
      <c r="D679" s="1241" t="s">
        <v>3466</v>
      </c>
      <c r="E679" s="1245" t="s">
        <v>36</v>
      </c>
      <c r="F679" s="2317" t="e">
        <f>+'VAL. PRINC'!#REF!</f>
        <v>#REF!</v>
      </c>
      <c r="G679" s="2296"/>
    </row>
    <row r="680" spans="3:7" hidden="1">
      <c r="C680" s="1272" t="s">
        <v>2712</v>
      </c>
      <c r="D680" s="1262" t="s">
        <v>3467</v>
      </c>
      <c r="E680" s="1273"/>
      <c r="F680" s="2317" t="e">
        <f>+'VAL. PRINC'!#REF!</f>
        <v>#REF!</v>
      </c>
      <c r="G680" s="2296"/>
    </row>
    <row r="681" spans="3:7" hidden="1">
      <c r="C681" s="1562" t="s">
        <v>2713</v>
      </c>
      <c r="D681" s="1563" t="s">
        <v>3585</v>
      </c>
      <c r="E681" s="1564"/>
      <c r="F681" s="2317" t="e">
        <f>+'VAL. PRINC'!#REF!</f>
        <v>#REF!</v>
      </c>
      <c r="G681" s="2296"/>
    </row>
    <row r="682" spans="3:7" hidden="1">
      <c r="C682" s="1268" t="s">
        <v>2714</v>
      </c>
      <c r="D682" s="1241" t="s">
        <v>3468</v>
      </c>
      <c r="E682" s="1245" t="s">
        <v>36</v>
      </c>
      <c r="F682" s="2317" t="e">
        <f>+'VAL. PRINC'!#REF!</f>
        <v>#REF!</v>
      </c>
      <c r="G682" s="2296"/>
    </row>
    <row r="683" spans="3:7" hidden="1">
      <c r="C683" s="1268" t="s">
        <v>2715</v>
      </c>
      <c r="D683" s="1241" t="s">
        <v>3469</v>
      </c>
      <c r="E683" s="1245" t="s">
        <v>36</v>
      </c>
      <c r="F683" s="2317" t="e">
        <f>+'VAL. PRINC'!#REF!</f>
        <v>#REF!</v>
      </c>
      <c r="G683" s="2296"/>
    </row>
    <row r="684" spans="3:7" hidden="1">
      <c r="C684" s="1268" t="s">
        <v>2716</v>
      </c>
      <c r="D684" s="1241" t="s">
        <v>3470</v>
      </c>
      <c r="E684" s="1245" t="s">
        <v>36</v>
      </c>
      <c r="F684" s="2317" t="e">
        <f>+'VAL. PRINC'!#REF!</f>
        <v>#REF!</v>
      </c>
      <c r="G684" s="2296"/>
    </row>
    <row r="685" spans="3:7" hidden="1">
      <c r="C685" s="1268" t="s">
        <v>2717</v>
      </c>
      <c r="D685" s="1241" t="s">
        <v>3471</v>
      </c>
      <c r="E685" s="1245" t="s">
        <v>36</v>
      </c>
      <c r="F685" s="2317" t="e">
        <f>+'VAL. PRINC'!#REF!</f>
        <v>#REF!</v>
      </c>
      <c r="G685" s="2296"/>
    </row>
    <row r="686" spans="3:7" hidden="1">
      <c r="C686" s="1268" t="s">
        <v>2718</v>
      </c>
      <c r="D686" s="1241" t="s">
        <v>3472</v>
      </c>
      <c r="E686" s="1245" t="s">
        <v>36</v>
      </c>
      <c r="F686" s="2317" t="e">
        <f>+'VAL. PRINC'!#REF!</f>
        <v>#REF!</v>
      </c>
      <c r="G686" s="2296"/>
    </row>
    <row r="687" spans="3:7" hidden="1">
      <c r="C687" s="1268" t="s">
        <v>2719</v>
      </c>
      <c r="D687" s="1241" t="s">
        <v>3473</v>
      </c>
      <c r="E687" s="1245" t="s">
        <v>36</v>
      </c>
      <c r="F687" s="2317" t="e">
        <f>+'VAL. PRINC'!#REF!</f>
        <v>#REF!</v>
      </c>
      <c r="G687" s="2296"/>
    </row>
    <row r="688" spans="3:7" hidden="1">
      <c r="C688" s="1562" t="s">
        <v>2720</v>
      </c>
      <c r="D688" s="1563" t="s">
        <v>3474</v>
      </c>
      <c r="E688" s="1564"/>
      <c r="F688" s="2317"/>
      <c r="G688" s="2296"/>
    </row>
    <row r="689" spans="3:7" hidden="1">
      <c r="C689" s="1268" t="s">
        <v>2721</v>
      </c>
      <c r="D689" s="1241" t="s">
        <v>3475</v>
      </c>
      <c r="E689" s="1245" t="s">
        <v>36</v>
      </c>
      <c r="F689" s="2317" t="e">
        <f>+'VAL. PRINC'!#REF!</f>
        <v>#REF!</v>
      </c>
      <c r="G689" s="2296"/>
    </row>
    <row r="690" spans="3:7" hidden="1">
      <c r="C690" s="1268" t="s">
        <v>2722</v>
      </c>
      <c r="D690" s="1241" t="s">
        <v>3476</v>
      </c>
      <c r="E690" s="1245" t="s">
        <v>36</v>
      </c>
      <c r="F690" s="2317" t="e">
        <f>+'VAL. PRINC'!#REF!</f>
        <v>#REF!</v>
      </c>
      <c r="G690" s="2296"/>
    </row>
    <row r="691" spans="3:7" hidden="1">
      <c r="C691" s="1562" t="s">
        <v>2723</v>
      </c>
      <c r="D691" s="1563" t="s">
        <v>3477</v>
      </c>
      <c r="E691" s="1564"/>
      <c r="F691" s="2317" t="e">
        <f>+'VAL. PRINC'!#REF!</f>
        <v>#REF!</v>
      </c>
      <c r="G691" s="2296"/>
    </row>
    <row r="692" spans="3:7" hidden="1">
      <c r="C692" s="1268" t="s">
        <v>2724</v>
      </c>
      <c r="D692" s="1241" t="s">
        <v>3478</v>
      </c>
      <c r="E692" s="1245" t="s">
        <v>36</v>
      </c>
      <c r="F692" s="2317" t="e">
        <f>+'VAL. PRINC'!#REF!</f>
        <v>#REF!</v>
      </c>
      <c r="G692" s="2296"/>
    </row>
    <row r="693" spans="3:7" hidden="1">
      <c r="C693" s="1562" t="s">
        <v>2725</v>
      </c>
      <c r="D693" s="1563" t="s">
        <v>3479</v>
      </c>
      <c r="E693" s="1564"/>
      <c r="F693" s="2317" t="e">
        <f>+'VAL. PRINC'!#REF!</f>
        <v>#REF!</v>
      </c>
      <c r="G693" s="2296"/>
    </row>
    <row r="694" spans="3:7" hidden="1">
      <c r="C694" s="1268" t="s">
        <v>2726</v>
      </c>
      <c r="D694" s="1241" t="s">
        <v>3480</v>
      </c>
      <c r="E694" s="1245" t="s">
        <v>36</v>
      </c>
      <c r="F694" s="2317" t="e">
        <f>+'VAL. PRINC'!#REF!</f>
        <v>#REF!</v>
      </c>
      <c r="G694" s="2296"/>
    </row>
    <row r="695" spans="3:7" hidden="1">
      <c r="C695" s="1268" t="s">
        <v>2727</v>
      </c>
      <c r="D695" s="1241" t="s">
        <v>3481</v>
      </c>
      <c r="E695" s="1245" t="s">
        <v>36</v>
      </c>
      <c r="F695" s="2317" t="e">
        <f>+'VAL. PRINC'!#REF!</f>
        <v>#REF!</v>
      </c>
      <c r="G695" s="2296"/>
    </row>
    <row r="696" spans="3:7">
      <c r="C696" s="1272" t="s">
        <v>2728</v>
      </c>
      <c r="D696" s="1262" t="s">
        <v>3482</v>
      </c>
      <c r="E696" s="1273"/>
      <c r="F696" s="2317"/>
      <c r="G696" s="2296"/>
    </row>
    <row r="697" spans="3:7">
      <c r="C697" s="1268" t="s">
        <v>2729</v>
      </c>
      <c r="D697" s="1241" t="s">
        <v>3483</v>
      </c>
      <c r="E697" s="1245" t="s">
        <v>1452</v>
      </c>
      <c r="F697" s="2317" t="e">
        <f>+'VAL. PRINC'!#REF!</f>
        <v>#REF!</v>
      </c>
      <c r="G697" s="2296"/>
    </row>
    <row r="698" spans="3:7" hidden="1">
      <c r="C698" s="1268" t="s">
        <v>2730</v>
      </c>
      <c r="D698" s="1241" t="s">
        <v>3484</v>
      </c>
      <c r="E698" s="1245" t="s">
        <v>1452</v>
      </c>
      <c r="F698" s="2317" t="e">
        <f>+'VAL. PRINC'!#REF!</f>
        <v>#REF!</v>
      </c>
      <c r="G698" s="2296"/>
    </row>
    <row r="699" spans="3:7" hidden="1">
      <c r="C699" s="1268" t="s">
        <v>2731</v>
      </c>
      <c r="D699" s="1241" t="s">
        <v>3485</v>
      </c>
      <c r="E699" s="1245" t="s">
        <v>1452</v>
      </c>
      <c r="F699" s="2317" t="e">
        <f>+'VAL. PRINC'!#REF!</f>
        <v>#REF!</v>
      </c>
      <c r="G699" s="2296"/>
    </row>
    <row r="700" spans="3:7" hidden="1">
      <c r="C700" s="1272" t="s">
        <v>2732</v>
      </c>
      <c r="D700" s="1262" t="s">
        <v>3486</v>
      </c>
      <c r="E700" s="1273"/>
      <c r="F700" s="2317" t="e">
        <f>+'VAL. PRINC'!#REF!</f>
        <v>#REF!</v>
      </c>
      <c r="G700" s="2296"/>
    </row>
    <row r="701" spans="3:7" hidden="1">
      <c r="C701" s="1268" t="s">
        <v>2733</v>
      </c>
      <c r="D701" s="1241" t="s">
        <v>3487</v>
      </c>
      <c r="E701" s="1245" t="s">
        <v>36</v>
      </c>
      <c r="F701" s="2317" t="e">
        <f>+'VAL. PRINC'!#REF!</f>
        <v>#REF!</v>
      </c>
      <c r="G701" s="2296"/>
    </row>
    <row r="702" spans="3:7" hidden="1">
      <c r="C702" s="1268" t="s">
        <v>2734</v>
      </c>
      <c r="D702" s="1241" t="s">
        <v>3488</v>
      </c>
      <c r="E702" s="1245" t="s">
        <v>36</v>
      </c>
      <c r="F702" s="2317" t="e">
        <f>+'VAL. PRINC'!#REF!</f>
        <v>#REF!</v>
      </c>
      <c r="G702" s="2296"/>
    </row>
    <row r="703" spans="3:7" hidden="1">
      <c r="C703" s="1272" t="s">
        <v>2735</v>
      </c>
      <c r="D703" s="1262" t="s">
        <v>3489</v>
      </c>
      <c r="E703" s="1273"/>
      <c r="F703" s="2317" t="e">
        <f>+'VAL. PRINC'!#REF!</f>
        <v>#REF!</v>
      </c>
      <c r="G703" s="2296"/>
    </row>
    <row r="704" spans="3:7" hidden="1">
      <c r="C704" s="1268" t="s">
        <v>2736</v>
      </c>
      <c r="D704" s="1241" t="s">
        <v>3490</v>
      </c>
      <c r="E704" s="1245" t="s">
        <v>36</v>
      </c>
      <c r="F704" s="2317" t="e">
        <f>+'VAL. PRINC'!#REF!</f>
        <v>#REF!</v>
      </c>
      <c r="G704" s="2296"/>
    </row>
    <row r="705" spans="3:7" hidden="1">
      <c r="C705" s="1268" t="s">
        <v>2737</v>
      </c>
      <c r="D705" s="1241" t="s">
        <v>3491</v>
      </c>
      <c r="E705" s="1245" t="s">
        <v>36</v>
      </c>
      <c r="F705" s="2317" t="e">
        <f>+'VAL. PRINC'!#REF!</f>
        <v>#REF!</v>
      </c>
      <c r="G705" s="2296"/>
    </row>
    <row r="706" spans="3:7" hidden="1">
      <c r="C706" s="1272" t="s">
        <v>2738</v>
      </c>
      <c r="D706" s="1262" t="s">
        <v>3492</v>
      </c>
      <c r="E706" s="1273"/>
      <c r="F706" s="2317" t="e">
        <f>+'VAL. PRINC'!#REF!</f>
        <v>#REF!</v>
      </c>
      <c r="G706" s="2296"/>
    </row>
    <row r="707" spans="3:7" hidden="1">
      <c r="C707" s="1268" t="s">
        <v>2739</v>
      </c>
      <c r="D707" s="1241" t="s">
        <v>3493</v>
      </c>
      <c r="E707" s="1245" t="s">
        <v>1452</v>
      </c>
      <c r="F707" s="2317" t="e">
        <f>+'VAL. PRINC'!#REF!</f>
        <v>#REF!</v>
      </c>
      <c r="G707" s="2296"/>
    </row>
    <row r="708" spans="3:7" hidden="1">
      <c r="C708" s="1268" t="s">
        <v>2740</v>
      </c>
      <c r="D708" s="1241" t="s">
        <v>3494</v>
      </c>
      <c r="E708" s="1245" t="s">
        <v>1452</v>
      </c>
      <c r="F708" s="2317" t="e">
        <f>+'VAL. PRINC'!#REF!</f>
        <v>#REF!</v>
      </c>
      <c r="G708" s="2296"/>
    </row>
    <row r="709" spans="3:7">
      <c r="C709" s="1263" t="s">
        <v>2741</v>
      </c>
      <c r="D709" s="1264" t="s">
        <v>3495</v>
      </c>
      <c r="E709" s="1265"/>
      <c r="F709" s="2317"/>
      <c r="G709" s="2296"/>
    </row>
    <row r="710" spans="3:7">
      <c r="C710" s="1272" t="s">
        <v>2742</v>
      </c>
      <c r="D710" s="1262" t="s">
        <v>3449</v>
      </c>
      <c r="E710" s="1273"/>
      <c r="F710" s="2317"/>
      <c r="G710" s="2296"/>
    </row>
    <row r="711" spans="3:7">
      <c r="C711" s="1268" t="s">
        <v>2743</v>
      </c>
      <c r="D711" s="1241" t="s">
        <v>3459</v>
      </c>
      <c r="E711" s="1245" t="s">
        <v>38</v>
      </c>
      <c r="F711" s="2317" t="e">
        <f>+'VAL. PRINC'!#REF!</f>
        <v>#REF!</v>
      </c>
      <c r="G711" s="2296"/>
    </row>
    <row r="712" spans="3:7" hidden="1">
      <c r="C712" s="1268" t="s">
        <v>2744</v>
      </c>
      <c r="D712" s="1241" t="s">
        <v>3460</v>
      </c>
      <c r="E712" s="1245" t="s">
        <v>36</v>
      </c>
      <c r="F712" s="2317" t="e">
        <f>+'VAL. PRINC'!#REF!</f>
        <v>#REF!</v>
      </c>
      <c r="G712" s="2296"/>
    </row>
    <row r="713" spans="3:7" hidden="1">
      <c r="C713" s="1272" t="s">
        <v>2745</v>
      </c>
      <c r="D713" s="1262" t="s">
        <v>3453</v>
      </c>
      <c r="E713" s="1273"/>
      <c r="F713" s="2317"/>
      <c r="G713" s="2296"/>
    </row>
    <row r="714" spans="3:7" hidden="1">
      <c r="C714" s="1268" t="s">
        <v>2746</v>
      </c>
      <c r="D714" s="1241" t="s">
        <v>3462</v>
      </c>
      <c r="E714" s="1245" t="s">
        <v>38</v>
      </c>
      <c r="F714" s="2317" t="e">
        <f>+'VAL. PRINC'!#REF!</f>
        <v>#REF!</v>
      </c>
      <c r="G714" s="2296"/>
    </row>
    <row r="715" spans="3:7" hidden="1">
      <c r="C715" s="1268" t="s">
        <v>2747</v>
      </c>
      <c r="D715" s="1241" t="s">
        <v>3463</v>
      </c>
      <c r="E715" s="1245" t="s">
        <v>38</v>
      </c>
      <c r="F715" s="2317" t="e">
        <f>+'VAL. PRINC'!#REF!</f>
        <v>#REF!</v>
      </c>
      <c r="G715" s="2296"/>
    </row>
    <row r="716" spans="3:7">
      <c r="C716" s="1272" t="s">
        <v>2748</v>
      </c>
      <c r="D716" s="1262" t="s">
        <v>3496</v>
      </c>
      <c r="E716" s="1273"/>
      <c r="F716" s="2317"/>
      <c r="G716" s="2296"/>
    </row>
    <row r="717" spans="3:7">
      <c r="C717" s="1268" t="s">
        <v>2749</v>
      </c>
      <c r="D717" s="1241" t="s">
        <v>3466</v>
      </c>
      <c r="E717" s="1245" t="s">
        <v>36</v>
      </c>
      <c r="F717" s="2317" t="e">
        <f>+'VAL. PRINC'!#REF!</f>
        <v>#REF!</v>
      </c>
      <c r="G717" s="2296"/>
    </row>
    <row r="718" spans="3:7">
      <c r="C718" s="1272" t="s">
        <v>2750</v>
      </c>
      <c r="D718" s="1262" t="s">
        <v>3467</v>
      </c>
      <c r="E718" s="1273"/>
      <c r="F718" s="2317"/>
      <c r="G718" s="2296"/>
    </row>
    <row r="719" spans="3:7" hidden="1">
      <c r="C719" s="1562" t="s">
        <v>2751</v>
      </c>
      <c r="D719" s="1563" t="s">
        <v>3474</v>
      </c>
      <c r="E719" s="1564"/>
      <c r="F719" s="2317"/>
      <c r="G719" s="2296"/>
    </row>
    <row r="720" spans="3:7" hidden="1">
      <c r="C720" s="1268" t="s">
        <v>2752</v>
      </c>
      <c r="D720" s="1241" t="s">
        <v>3497</v>
      </c>
      <c r="E720" s="1245" t="s">
        <v>36</v>
      </c>
      <c r="F720" s="2317" t="e">
        <f>+'VAL. PRINC'!#REF!</f>
        <v>#REF!</v>
      </c>
      <c r="G720" s="2296"/>
    </row>
    <row r="721" spans="3:7" hidden="1">
      <c r="C721" s="1272" t="s">
        <v>2753</v>
      </c>
      <c r="D721" s="1262" t="s">
        <v>3496</v>
      </c>
      <c r="E721" s="1273"/>
      <c r="F721" s="2317"/>
      <c r="G721" s="2296"/>
    </row>
    <row r="722" spans="3:7" hidden="1">
      <c r="C722" s="1268" t="s">
        <v>2754</v>
      </c>
      <c r="D722" s="1241" t="s">
        <v>3498</v>
      </c>
      <c r="E722" s="1245" t="s">
        <v>1452</v>
      </c>
      <c r="F722" s="2317" t="e">
        <f>+'VAL. PRINC'!#REF!</f>
        <v>#REF!</v>
      </c>
      <c r="G722" s="2296"/>
    </row>
    <row r="723" spans="3:7" hidden="1">
      <c r="C723" s="1272" t="s">
        <v>2755</v>
      </c>
      <c r="D723" s="1262" t="s">
        <v>3486</v>
      </c>
      <c r="E723" s="1273"/>
      <c r="F723" s="2317" t="e">
        <f>+'VAL. PRINC'!#REF!</f>
        <v>#REF!</v>
      </c>
      <c r="G723" s="2296"/>
    </row>
    <row r="724" spans="3:7" hidden="1">
      <c r="C724" s="1268" t="s">
        <v>2756</v>
      </c>
      <c r="D724" s="1241" t="s">
        <v>3487</v>
      </c>
      <c r="E724" s="1245" t="s">
        <v>36</v>
      </c>
      <c r="F724" s="2317" t="e">
        <f>+'VAL. PRINC'!#REF!</f>
        <v>#REF!</v>
      </c>
      <c r="G724" s="2296"/>
    </row>
    <row r="725" spans="3:7" hidden="1">
      <c r="C725" s="1263" t="s">
        <v>2757</v>
      </c>
      <c r="D725" s="1264" t="s">
        <v>3499</v>
      </c>
      <c r="E725" s="1265"/>
      <c r="F725" s="2317" t="e">
        <f>+'VAL. PRINC'!#REF!</f>
        <v>#REF!</v>
      </c>
      <c r="G725" s="2296"/>
    </row>
    <row r="726" spans="3:7" hidden="1">
      <c r="C726" s="1268" t="s">
        <v>2758</v>
      </c>
      <c r="D726" s="1241" t="s">
        <v>3500</v>
      </c>
      <c r="E726" s="1245" t="s">
        <v>41</v>
      </c>
      <c r="F726" s="2317" t="e">
        <f>+'VAL. PRINC'!#REF!</f>
        <v>#REF!</v>
      </c>
      <c r="G726" s="2296"/>
    </row>
    <row r="727" spans="3:7">
      <c r="C727" s="1568" t="s">
        <v>514</v>
      </c>
      <c r="D727" s="1270" t="s">
        <v>2827</v>
      </c>
      <c r="E727" s="1271"/>
      <c r="F727" s="2317"/>
      <c r="G727" s="2296"/>
    </row>
    <row r="728" spans="3:7">
      <c r="C728" s="1263" t="s">
        <v>515</v>
      </c>
      <c r="D728" s="1264" t="s">
        <v>3501</v>
      </c>
      <c r="E728" s="1265"/>
      <c r="F728" s="2317"/>
      <c r="G728" s="2296"/>
    </row>
    <row r="729" spans="3:7">
      <c r="C729" s="1272" t="s">
        <v>1805</v>
      </c>
      <c r="D729" s="1262" t="s">
        <v>3502</v>
      </c>
      <c r="E729" s="1273"/>
      <c r="F729" s="2317"/>
      <c r="G729" s="2296"/>
    </row>
    <row r="730" spans="3:7">
      <c r="C730" s="1562" t="s">
        <v>2759</v>
      </c>
      <c r="D730" s="1563" t="s">
        <v>3503</v>
      </c>
      <c r="E730" s="1564"/>
      <c r="F730" s="2317"/>
      <c r="G730" s="2296"/>
    </row>
    <row r="731" spans="3:7">
      <c r="C731" s="1569" t="s">
        <v>2760</v>
      </c>
      <c r="D731" s="1570" t="s">
        <v>3504</v>
      </c>
      <c r="E731" s="1571"/>
      <c r="F731" s="2317"/>
      <c r="G731" s="2296"/>
    </row>
    <row r="732" spans="3:7">
      <c r="C732" s="1268" t="s">
        <v>2761</v>
      </c>
      <c r="D732" s="1241" t="s">
        <v>3505</v>
      </c>
      <c r="E732" s="1245" t="s">
        <v>40</v>
      </c>
      <c r="F732" s="2317">
        <f>+'VAL. PRINC'!U19</f>
        <v>22.33</v>
      </c>
      <c r="G732" s="2296"/>
    </row>
    <row r="733" spans="3:7">
      <c r="C733" s="1268" t="s">
        <v>2762</v>
      </c>
      <c r="D733" s="1241" t="s">
        <v>3506</v>
      </c>
      <c r="E733" s="1245" t="s">
        <v>40</v>
      </c>
      <c r="F733" s="2317">
        <f>+'VAL. PRINC'!U20</f>
        <v>3.1</v>
      </c>
      <c r="G733" s="2296"/>
    </row>
    <row r="734" spans="3:7">
      <c r="C734" s="1268" t="s">
        <v>2763</v>
      </c>
      <c r="D734" s="1241" t="s">
        <v>3507</v>
      </c>
      <c r="E734" s="1245" t="s">
        <v>40</v>
      </c>
      <c r="F734" s="2317">
        <f>+'VAL. PRINC'!U21</f>
        <v>2.0300000000000002</v>
      </c>
      <c r="G734" s="2296"/>
    </row>
    <row r="735" spans="3:7">
      <c r="C735" s="1268" t="s">
        <v>2764</v>
      </c>
      <c r="D735" s="1241" t="s">
        <v>3508</v>
      </c>
      <c r="E735" s="1245" t="s">
        <v>40</v>
      </c>
      <c r="F735" s="2317">
        <f>+'VAL. PRINC'!U22</f>
        <v>4.1400000000000006</v>
      </c>
      <c r="G735" s="2296"/>
    </row>
    <row r="736" spans="3:7">
      <c r="C736" s="1268" t="s">
        <v>2765</v>
      </c>
      <c r="D736" s="1241" t="s">
        <v>3509</v>
      </c>
      <c r="E736" s="1245" t="s">
        <v>40</v>
      </c>
      <c r="F736" s="2317">
        <f>+'VAL. PRINC'!U23</f>
        <v>1.1700000000000017</v>
      </c>
      <c r="G736" s="2296"/>
    </row>
    <row r="737" spans="3:7">
      <c r="C737" s="1268" t="s">
        <v>2766</v>
      </c>
      <c r="D737" s="1241" t="s">
        <v>3510</v>
      </c>
      <c r="E737" s="1245" t="s">
        <v>40</v>
      </c>
      <c r="F737" s="2317">
        <f>+'VAL. PRINC'!U24</f>
        <v>0.8600000000000001</v>
      </c>
      <c r="G737" s="2296"/>
    </row>
    <row r="738" spans="3:7">
      <c r="C738" s="1268" t="s">
        <v>2767</v>
      </c>
      <c r="D738" s="1241" t="s">
        <v>3511</v>
      </c>
      <c r="E738" s="1245" t="s">
        <v>40</v>
      </c>
      <c r="F738" s="2317">
        <f>+'VAL. PRINC'!U25</f>
        <v>5.1199999999999992</v>
      </c>
      <c r="G738" s="2296"/>
    </row>
    <row r="739" spans="3:7">
      <c r="C739" s="1569" t="s">
        <v>2768</v>
      </c>
      <c r="D739" s="1570" t="s">
        <v>3512</v>
      </c>
      <c r="E739" s="1571"/>
      <c r="F739" s="2317"/>
      <c r="G739" s="2296"/>
    </row>
    <row r="740" spans="3:7">
      <c r="C740" s="1268" t="s">
        <v>2769</v>
      </c>
      <c r="D740" s="1241" t="s">
        <v>3513</v>
      </c>
      <c r="E740" s="1245" t="s">
        <v>36</v>
      </c>
      <c r="F740" s="2317">
        <f>+'VAL. PRINC'!U27</f>
        <v>8</v>
      </c>
      <c r="G740" s="2296"/>
    </row>
    <row r="741" spans="3:7">
      <c r="C741" s="1569" t="s">
        <v>2770</v>
      </c>
      <c r="D741" s="1570" t="s">
        <v>3514</v>
      </c>
      <c r="E741" s="1571"/>
      <c r="F741" s="2317"/>
      <c r="G741" s="2296"/>
    </row>
    <row r="742" spans="3:7">
      <c r="C742" s="1268" t="s">
        <v>2771</v>
      </c>
      <c r="D742" s="1241" t="s">
        <v>3515</v>
      </c>
      <c r="E742" s="1245" t="s">
        <v>38</v>
      </c>
      <c r="F742" s="2317">
        <f>+'VAL. PRINC'!U29</f>
        <v>29.25</v>
      </c>
      <c r="G742" s="2296"/>
    </row>
    <row r="743" spans="3:7">
      <c r="C743" s="1562" t="s">
        <v>2772</v>
      </c>
      <c r="D743" s="1563" t="s">
        <v>3516</v>
      </c>
      <c r="E743" s="1564"/>
      <c r="F743" s="2317"/>
      <c r="G743" s="2296"/>
    </row>
    <row r="744" spans="3:7">
      <c r="C744" s="1268" t="s">
        <v>2773</v>
      </c>
      <c r="D744" s="1241" t="s">
        <v>3517</v>
      </c>
      <c r="E744" s="1245" t="s">
        <v>38</v>
      </c>
      <c r="F744" s="2317">
        <f>+'VAL. PRINC'!U31</f>
        <v>230</v>
      </c>
      <c r="G744" s="2296"/>
    </row>
    <row r="745" spans="3:7">
      <c r="C745" s="1268" t="s">
        <v>2774</v>
      </c>
      <c r="D745" s="1241" t="s">
        <v>3518</v>
      </c>
      <c r="E745" s="1245" t="s">
        <v>38</v>
      </c>
      <c r="F745" s="2317">
        <f>+'VAL. PRINC'!U32</f>
        <v>5.34</v>
      </c>
      <c r="G745" s="2296"/>
    </row>
    <row r="746" spans="3:7">
      <c r="C746" s="1268" t="s">
        <v>2775</v>
      </c>
      <c r="D746" s="1241" t="s">
        <v>3519</v>
      </c>
      <c r="E746" s="1245" t="s">
        <v>38</v>
      </c>
      <c r="F746" s="2317">
        <f>+'VAL. PRINC'!U33</f>
        <v>10.829999999999998</v>
      </c>
      <c r="G746" s="2296"/>
    </row>
    <row r="747" spans="3:7">
      <c r="C747" s="1272" t="s">
        <v>1930</v>
      </c>
      <c r="D747" s="1262" t="s">
        <v>3520</v>
      </c>
      <c r="E747" s="1273"/>
      <c r="F747" s="2317"/>
      <c r="G747" s="2296"/>
    </row>
    <row r="748" spans="3:7" hidden="1">
      <c r="C748" s="1268" t="s">
        <v>2776</v>
      </c>
      <c r="D748" s="1241" t="s">
        <v>3521</v>
      </c>
      <c r="E748" s="1245" t="s">
        <v>38</v>
      </c>
      <c r="F748" s="2317">
        <f>+'VAL. PRINC'!U35</f>
        <v>0</v>
      </c>
      <c r="G748" s="2296"/>
    </row>
    <row r="749" spans="3:7" hidden="1">
      <c r="C749" s="1268" t="s">
        <v>2777</v>
      </c>
      <c r="D749" s="1241" t="s">
        <v>3522</v>
      </c>
      <c r="E749" s="1245" t="s">
        <v>38</v>
      </c>
      <c r="F749" s="2317">
        <f>+'VAL. PRINC'!U36</f>
        <v>0</v>
      </c>
      <c r="G749" s="2296"/>
    </row>
    <row r="750" spans="3:7" hidden="1">
      <c r="C750" s="1268" t="s">
        <v>2778</v>
      </c>
      <c r="D750" s="1241" t="s">
        <v>3523</v>
      </c>
      <c r="E750" s="1245" t="s">
        <v>38</v>
      </c>
      <c r="F750" s="2317">
        <f>+'VAL. PRINC'!U37</f>
        <v>0</v>
      </c>
      <c r="G750" s="2296"/>
    </row>
    <row r="751" spans="3:7" hidden="1">
      <c r="C751" s="1268" t="s">
        <v>2779</v>
      </c>
      <c r="D751" s="1241" t="s">
        <v>3524</v>
      </c>
      <c r="E751" s="1245" t="s">
        <v>38</v>
      </c>
      <c r="F751" s="2317">
        <f>+'VAL. PRINC'!U38</f>
        <v>0</v>
      </c>
      <c r="G751" s="2296"/>
    </row>
    <row r="752" spans="3:7">
      <c r="C752" s="1268" t="s">
        <v>2780</v>
      </c>
      <c r="D752" s="1241" t="s">
        <v>3525</v>
      </c>
      <c r="E752" s="1245" t="s">
        <v>38</v>
      </c>
      <c r="F752" s="2317">
        <f>+'VAL. PRINC'!U39</f>
        <v>155.47</v>
      </c>
      <c r="G752" s="2296"/>
    </row>
    <row r="753" spans="3:7" hidden="1">
      <c r="C753" s="1272" t="s">
        <v>1932</v>
      </c>
      <c r="D753" s="1262" t="s">
        <v>3526</v>
      </c>
      <c r="E753" s="1273"/>
      <c r="F753" s="2317"/>
      <c r="G753" s="2296"/>
    </row>
    <row r="754" spans="3:7" hidden="1">
      <c r="C754" s="1268" t="s">
        <v>2781</v>
      </c>
      <c r="D754" s="1241" t="s">
        <v>3527</v>
      </c>
      <c r="E754" s="1245" t="s">
        <v>36</v>
      </c>
      <c r="F754" s="2317">
        <f>+'VAL. PRINC'!U41</f>
        <v>0</v>
      </c>
      <c r="G754" s="2296"/>
    </row>
    <row r="755" spans="3:7">
      <c r="C755" s="1272" t="s">
        <v>1933</v>
      </c>
      <c r="D755" s="1262" t="s">
        <v>3528</v>
      </c>
      <c r="E755" s="1273"/>
      <c r="F755" s="2317"/>
      <c r="G755" s="2296"/>
    </row>
    <row r="756" spans="3:7">
      <c r="C756" s="1268" t="s">
        <v>2782</v>
      </c>
      <c r="D756" s="1241" t="s">
        <v>3529</v>
      </c>
      <c r="E756" s="1245" t="s">
        <v>36</v>
      </c>
      <c r="F756" s="2317">
        <f>+'VAL. PRINC'!U43</f>
        <v>15</v>
      </c>
      <c r="G756" s="2296"/>
    </row>
    <row r="757" spans="3:7" hidden="1">
      <c r="C757" s="1268" t="s">
        <v>2783</v>
      </c>
      <c r="D757" s="1241" t="s">
        <v>3530</v>
      </c>
      <c r="E757" s="1245" t="s">
        <v>36</v>
      </c>
      <c r="F757" s="2317">
        <f>+'VAL. PRINC'!U44</f>
        <v>0</v>
      </c>
      <c r="G757" s="2296"/>
    </row>
    <row r="758" spans="3:7">
      <c r="C758" s="1272" t="s">
        <v>1934</v>
      </c>
      <c r="D758" s="1262" t="s">
        <v>3531</v>
      </c>
      <c r="E758" s="1273"/>
      <c r="F758" s="2317"/>
      <c r="G758" s="2296"/>
    </row>
    <row r="759" spans="3:7">
      <c r="C759" s="1268" t="s">
        <v>2784</v>
      </c>
      <c r="D759" s="1241" t="s">
        <v>3532</v>
      </c>
      <c r="E759" s="1245" t="s">
        <v>36</v>
      </c>
      <c r="F759" s="2317">
        <f>+'VAL. PRINC'!U46</f>
        <v>10</v>
      </c>
      <c r="G759" s="2296"/>
    </row>
    <row r="760" spans="3:7" hidden="1">
      <c r="C760" s="1268" t="s">
        <v>2785</v>
      </c>
      <c r="D760" s="1241" t="s">
        <v>3533</v>
      </c>
      <c r="E760" s="1245" t="s">
        <v>36</v>
      </c>
      <c r="F760" s="2317">
        <f>+'VAL. PRINC'!U47</f>
        <v>0</v>
      </c>
      <c r="G760" s="2296"/>
    </row>
    <row r="761" spans="3:7">
      <c r="C761" s="1272" t="s">
        <v>1935</v>
      </c>
      <c r="D761" s="1262" t="s">
        <v>3534</v>
      </c>
      <c r="E761" s="1273"/>
      <c r="F761" s="2317"/>
      <c r="G761" s="2296"/>
    </row>
    <row r="762" spans="3:7" hidden="1">
      <c r="C762" s="1268" t="s">
        <v>2786</v>
      </c>
      <c r="D762" s="1241" t="s">
        <v>3535</v>
      </c>
      <c r="E762" s="1245" t="s">
        <v>36</v>
      </c>
      <c r="F762" s="2317">
        <f>+'VAL. PRINC'!U49</f>
        <v>0</v>
      </c>
      <c r="G762" s="2296"/>
    </row>
    <row r="763" spans="3:7" hidden="1">
      <c r="C763" s="1268" t="s">
        <v>2787</v>
      </c>
      <c r="D763" s="1241" t="s">
        <v>3536</v>
      </c>
      <c r="E763" s="1245" t="s">
        <v>36</v>
      </c>
      <c r="F763" s="2317">
        <f>+'VAL. PRINC'!U50</f>
        <v>0</v>
      </c>
      <c r="G763" s="2296"/>
    </row>
    <row r="764" spans="3:7" hidden="1">
      <c r="C764" s="1268" t="s">
        <v>2788</v>
      </c>
      <c r="D764" s="1241" t="s">
        <v>3537</v>
      </c>
      <c r="E764" s="1245" t="s">
        <v>36</v>
      </c>
      <c r="F764" s="2317">
        <f>+'VAL. PRINC'!U51</f>
        <v>0</v>
      </c>
      <c r="G764" s="2296"/>
    </row>
    <row r="765" spans="3:7">
      <c r="C765" s="1268" t="s">
        <v>2789</v>
      </c>
      <c r="D765" s="1241" t="s">
        <v>3538</v>
      </c>
      <c r="E765" s="1245" t="s">
        <v>36</v>
      </c>
      <c r="F765" s="2317">
        <f>+'VAL. PRINC'!U52</f>
        <v>14</v>
      </c>
      <c r="G765" s="2296"/>
    </row>
    <row r="766" spans="3:7" hidden="1">
      <c r="C766" s="1268" t="s">
        <v>2790</v>
      </c>
      <c r="D766" s="1241" t="s">
        <v>3539</v>
      </c>
      <c r="E766" s="1245" t="s">
        <v>36</v>
      </c>
      <c r="F766" s="2317">
        <f>+'VAL. PRINC'!U53</f>
        <v>0</v>
      </c>
      <c r="G766" s="2296"/>
    </row>
    <row r="767" spans="3:7" hidden="1">
      <c r="C767" s="1268" t="s">
        <v>2791</v>
      </c>
      <c r="D767" s="1241" t="s">
        <v>3540</v>
      </c>
      <c r="E767" s="1245" t="s">
        <v>36</v>
      </c>
      <c r="F767" s="2317">
        <f>+'VAL. PRINC'!U54</f>
        <v>0</v>
      </c>
      <c r="G767" s="2296"/>
    </row>
    <row r="768" spans="3:7" hidden="1">
      <c r="C768" s="1268" t="s">
        <v>2792</v>
      </c>
      <c r="D768" s="1241" t="s">
        <v>3541</v>
      </c>
      <c r="E768" s="1245" t="s">
        <v>36</v>
      </c>
      <c r="F768" s="2317">
        <f>+'VAL. PRINC'!U55</f>
        <v>0</v>
      </c>
      <c r="G768" s="2296"/>
    </row>
    <row r="769" spans="3:7" hidden="1">
      <c r="C769" s="1268" t="s">
        <v>2793</v>
      </c>
      <c r="D769" s="1241" t="s">
        <v>3542</v>
      </c>
      <c r="E769" s="1245" t="s">
        <v>36</v>
      </c>
      <c r="F769" s="2317">
        <f>+'VAL. PRINC'!U56</f>
        <v>0</v>
      </c>
      <c r="G769" s="2296"/>
    </row>
    <row r="770" spans="3:7">
      <c r="C770" s="1263" t="s">
        <v>2066</v>
      </c>
      <c r="D770" s="1264" t="s">
        <v>3543</v>
      </c>
      <c r="E770" s="1265"/>
      <c r="F770" s="2317"/>
      <c r="G770" s="2296"/>
    </row>
    <row r="771" spans="3:7">
      <c r="C771" s="1272" t="s">
        <v>2067</v>
      </c>
      <c r="D771" s="1262" t="s">
        <v>3502</v>
      </c>
      <c r="E771" s="1273"/>
      <c r="F771" s="2317"/>
      <c r="G771" s="2296"/>
    </row>
    <row r="772" spans="3:7" hidden="1">
      <c r="C772" s="1268" t="s">
        <v>2068</v>
      </c>
      <c r="D772" s="1241" t="s">
        <v>3544</v>
      </c>
      <c r="E772" s="1245" t="s">
        <v>38</v>
      </c>
      <c r="F772" s="2317">
        <f>+'VAL. PRINC'!U59</f>
        <v>0</v>
      </c>
      <c r="G772" s="2296"/>
    </row>
    <row r="773" spans="3:7" hidden="1">
      <c r="C773" s="1268" t="s">
        <v>2794</v>
      </c>
      <c r="D773" s="1241" t="s">
        <v>3450</v>
      </c>
      <c r="E773" s="1245" t="s">
        <v>38</v>
      </c>
      <c r="F773" s="2317">
        <f>+'VAL. PRINC'!U60</f>
        <v>0</v>
      </c>
      <c r="G773" s="2296"/>
    </row>
    <row r="774" spans="3:7">
      <c r="C774" s="1268" t="s">
        <v>2795</v>
      </c>
      <c r="D774" s="1241" t="s">
        <v>3545</v>
      </c>
      <c r="E774" s="1245" t="s">
        <v>38</v>
      </c>
      <c r="F774" s="2317">
        <f>+'VAL. PRINC'!U61</f>
        <v>8.4300000000000068</v>
      </c>
      <c r="G774" s="2296"/>
    </row>
    <row r="775" spans="3:7" hidden="1">
      <c r="C775" s="1272" t="s">
        <v>2069</v>
      </c>
      <c r="D775" s="1262" t="s">
        <v>3546</v>
      </c>
      <c r="E775" s="1273"/>
      <c r="F775" s="2317"/>
      <c r="G775" s="2296"/>
    </row>
    <row r="776" spans="3:7" hidden="1">
      <c r="C776" s="1268" t="s">
        <v>2070</v>
      </c>
      <c r="D776" s="1241" t="s">
        <v>3547</v>
      </c>
      <c r="E776" s="1245" t="s">
        <v>1452</v>
      </c>
      <c r="F776" s="2317">
        <f>+'VAL. PRINC'!U63</f>
        <v>0</v>
      </c>
      <c r="G776" s="2296"/>
    </row>
    <row r="777" spans="3:7">
      <c r="C777" s="1272" t="s">
        <v>2796</v>
      </c>
      <c r="D777" s="1262" t="s">
        <v>3520</v>
      </c>
      <c r="E777" s="1273"/>
      <c r="F777" s="2317"/>
      <c r="G777" s="2296"/>
    </row>
    <row r="778" spans="3:7">
      <c r="C778" s="1268" t="s">
        <v>2797</v>
      </c>
      <c r="D778" s="1241" t="s">
        <v>3548</v>
      </c>
      <c r="E778" s="1245" t="s">
        <v>38</v>
      </c>
      <c r="F778" s="2317">
        <f>+'VAL. PRINC'!U65</f>
        <v>500</v>
      </c>
      <c r="G778" s="2296"/>
    </row>
    <row r="779" spans="3:7" hidden="1">
      <c r="C779" s="1272" t="s">
        <v>2798</v>
      </c>
      <c r="D779" s="1262" t="s">
        <v>3526</v>
      </c>
      <c r="E779" s="1273"/>
      <c r="F779" s="2317"/>
      <c r="G779" s="2296"/>
    </row>
    <row r="780" spans="3:7" hidden="1">
      <c r="C780" s="1268" t="s">
        <v>2799</v>
      </c>
      <c r="D780" s="1241" t="s">
        <v>3527</v>
      </c>
      <c r="E780" s="1245" t="s">
        <v>36</v>
      </c>
      <c r="F780" s="2317">
        <f>+'VAL. PRINC'!U67</f>
        <v>0</v>
      </c>
      <c r="G780" s="2296"/>
    </row>
    <row r="781" spans="3:7">
      <c r="C781" s="1272" t="s">
        <v>2800</v>
      </c>
      <c r="D781" s="1262" t="s">
        <v>3528</v>
      </c>
      <c r="E781" s="1273"/>
      <c r="F781" s="2317"/>
      <c r="G781" s="2296"/>
    </row>
    <row r="782" spans="3:7">
      <c r="C782" s="1268" t="s">
        <v>2801</v>
      </c>
      <c r="D782" s="1241" t="s">
        <v>3549</v>
      </c>
      <c r="E782" s="1245" t="s">
        <v>36</v>
      </c>
      <c r="F782" s="2317">
        <f>+'VAL. PRINC'!U69</f>
        <v>4</v>
      </c>
      <c r="G782" s="2296"/>
    </row>
    <row r="783" spans="3:7" hidden="1">
      <c r="C783" s="1272" t="s">
        <v>2802</v>
      </c>
      <c r="D783" s="1262" t="s">
        <v>3531</v>
      </c>
      <c r="E783" s="1273"/>
      <c r="F783" s="2317"/>
      <c r="G783" s="2296"/>
    </row>
    <row r="784" spans="3:7" hidden="1">
      <c r="C784" s="1268" t="s">
        <v>2803</v>
      </c>
      <c r="D784" s="1241" t="s">
        <v>3532</v>
      </c>
      <c r="E784" s="1245" t="s">
        <v>36</v>
      </c>
      <c r="F784" s="2317">
        <f>+'VAL. PRINC'!U71</f>
        <v>0</v>
      </c>
      <c r="G784" s="2296"/>
    </row>
    <row r="785" spans="3:7" hidden="1">
      <c r="C785" s="1268" t="s">
        <v>2804</v>
      </c>
      <c r="D785" s="1241" t="s">
        <v>3533</v>
      </c>
      <c r="E785" s="1245" t="s">
        <v>36</v>
      </c>
      <c r="F785" s="2317">
        <f>+'VAL. PRINC'!U72</f>
        <v>0</v>
      </c>
      <c r="G785" s="2296"/>
    </row>
    <row r="786" spans="3:7" hidden="1">
      <c r="C786" s="1272" t="s">
        <v>2805</v>
      </c>
      <c r="D786" s="1262" t="s">
        <v>3534</v>
      </c>
      <c r="E786" s="1273"/>
      <c r="F786" s="2317">
        <f>+'VAL. PRINC'!U73</f>
        <v>0</v>
      </c>
      <c r="G786" s="2296"/>
    </row>
    <row r="787" spans="3:7" hidden="1">
      <c r="C787" s="1268" t="s">
        <v>2806</v>
      </c>
      <c r="D787" s="1241" t="s">
        <v>3550</v>
      </c>
      <c r="E787" s="1245" t="s">
        <v>36</v>
      </c>
      <c r="F787" s="2317">
        <f>+'VAL. PRINC'!U74</f>
        <v>0</v>
      </c>
      <c r="G787" s="2296"/>
    </row>
    <row r="788" spans="3:7" hidden="1">
      <c r="C788" s="1268" t="s">
        <v>2807</v>
      </c>
      <c r="D788" s="1241" t="s">
        <v>3551</v>
      </c>
      <c r="E788" s="1245" t="s">
        <v>36</v>
      </c>
      <c r="F788" s="2317">
        <f>+'VAL. PRINC'!U75</f>
        <v>0</v>
      </c>
      <c r="G788" s="2296"/>
    </row>
    <row r="789" spans="3:7" hidden="1">
      <c r="C789" s="1268" t="s">
        <v>2808</v>
      </c>
      <c r="D789" s="1241" t="s">
        <v>3552</v>
      </c>
      <c r="E789" s="1245" t="s">
        <v>36</v>
      </c>
      <c r="F789" s="2317">
        <f>+'VAL. PRINC'!U76</f>
        <v>0</v>
      </c>
      <c r="G789" s="2296"/>
    </row>
    <row r="790" spans="3:7" hidden="1">
      <c r="C790" s="1268" t="s">
        <v>2809</v>
      </c>
      <c r="D790" s="1241" t="s">
        <v>3553</v>
      </c>
      <c r="E790" s="1245" t="s">
        <v>36</v>
      </c>
      <c r="F790" s="2317">
        <f>+'VAL. PRINC'!U77</f>
        <v>0</v>
      </c>
      <c r="G790" s="2296"/>
    </row>
    <row r="791" spans="3:7" hidden="1">
      <c r="C791" s="1268" t="s">
        <v>2810</v>
      </c>
      <c r="D791" s="1241" t="s">
        <v>3554</v>
      </c>
      <c r="E791" s="1245" t="s">
        <v>36</v>
      </c>
      <c r="F791" s="2317">
        <f>+'VAL. PRINC'!U78</f>
        <v>0</v>
      </c>
      <c r="G791" s="2296"/>
    </row>
    <row r="792" spans="3:7" hidden="1">
      <c r="C792" s="1268" t="s">
        <v>2811</v>
      </c>
      <c r="D792" s="1241" t="s">
        <v>3555</v>
      </c>
      <c r="E792" s="1245" t="s">
        <v>36</v>
      </c>
      <c r="F792" s="2317">
        <f>+'VAL. PRINC'!U79</f>
        <v>0</v>
      </c>
      <c r="G792" s="2296"/>
    </row>
    <row r="793" spans="3:7" hidden="1">
      <c r="C793" s="1268" t="s">
        <v>2812</v>
      </c>
      <c r="D793" s="1241" t="s">
        <v>3556</v>
      </c>
      <c r="E793" s="1245" t="s">
        <v>36</v>
      </c>
      <c r="F793" s="2317">
        <f>+'VAL. PRINC'!U80</f>
        <v>0</v>
      </c>
      <c r="G793" s="2296"/>
    </row>
    <row r="794" spans="3:7" hidden="1">
      <c r="C794" s="1268" t="s">
        <v>2813</v>
      </c>
      <c r="D794" s="1241" t="s">
        <v>3557</v>
      </c>
      <c r="E794" s="1245" t="s">
        <v>36</v>
      </c>
      <c r="F794" s="2317">
        <f>+'VAL. PRINC'!U81</f>
        <v>0</v>
      </c>
      <c r="G794" s="2296"/>
    </row>
    <row r="795" spans="3:7" hidden="1">
      <c r="C795" s="1268" t="s">
        <v>2814</v>
      </c>
      <c r="D795" s="1241" t="s">
        <v>3558</v>
      </c>
      <c r="E795" s="1245" t="s">
        <v>36</v>
      </c>
      <c r="F795" s="2317">
        <f>+'VAL. PRINC'!U82</f>
        <v>0</v>
      </c>
      <c r="G795" s="2296"/>
    </row>
    <row r="796" spans="3:7">
      <c r="C796" s="1263" t="s">
        <v>2078</v>
      </c>
      <c r="D796" s="1264" t="s">
        <v>3559</v>
      </c>
      <c r="E796" s="1265"/>
      <c r="F796" s="2317"/>
      <c r="G796" s="2296"/>
    </row>
    <row r="797" spans="3:7">
      <c r="C797" s="1272" t="s">
        <v>2079</v>
      </c>
      <c r="D797" s="1262" t="s">
        <v>3502</v>
      </c>
      <c r="E797" s="1273"/>
      <c r="F797" s="2317"/>
      <c r="G797" s="2296"/>
    </row>
    <row r="798" spans="3:7">
      <c r="C798" s="1268" t="s">
        <v>2080</v>
      </c>
      <c r="D798" s="1241" t="s">
        <v>3544</v>
      </c>
      <c r="E798" s="1245" t="s">
        <v>38</v>
      </c>
      <c r="F798" s="2317">
        <f>+'VAL. PRINC'!U85</f>
        <v>320</v>
      </c>
      <c r="G798" s="2296"/>
    </row>
    <row r="799" spans="3:7" hidden="1">
      <c r="C799" s="1272" t="s">
        <v>2081</v>
      </c>
      <c r="D799" s="1262" t="s">
        <v>3546</v>
      </c>
      <c r="E799" s="1273"/>
      <c r="F799" s="2317"/>
      <c r="G799" s="2296"/>
    </row>
    <row r="800" spans="3:7" hidden="1">
      <c r="C800" s="1268" t="s">
        <v>2082</v>
      </c>
      <c r="D800" s="1241" t="s">
        <v>3560</v>
      </c>
      <c r="E800" s="1245" t="s">
        <v>1452</v>
      </c>
      <c r="F800" s="2317">
        <f>+'VAL. PRINC'!U87</f>
        <v>0</v>
      </c>
      <c r="G800" s="2296"/>
    </row>
    <row r="801" spans="3:7" ht="13.8" hidden="1" thickBot="1">
      <c r="C801" s="2292" t="s">
        <v>2086</v>
      </c>
      <c r="D801" s="2293" t="s">
        <v>3561</v>
      </c>
      <c r="E801" s="2294" t="s">
        <v>1452</v>
      </c>
      <c r="F801" s="2317">
        <f>+'VAL. PRINC'!U88</f>
        <v>0</v>
      </c>
      <c r="G801" s="2296"/>
    </row>
    <row r="802" spans="3:7" hidden="1">
      <c r="C802" s="2289" t="s">
        <v>2185</v>
      </c>
      <c r="D802" s="2290" t="s">
        <v>3562</v>
      </c>
      <c r="E802" s="2291" t="s">
        <v>1452</v>
      </c>
      <c r="F802" s="2318"/>
      <c r="G802" s="2296"/>
    </row>
    <row r="803" spans="3:7" hidden="1">
      <c r="C803" s="1272" t="s">
        <v>2815</v>
      </c>
      <c r="D803" s="1262" t="s">
        <v>3520</v>
      </c>
      <c r="E803" s="1273"/>
      <c r="F803" s="2319"/>
      <c r="G803" s="2296"/>
    </row>
    <row r="804" spans="3:7" hidden="1">
      <c r="C804" s="1268" t="s">
        <v>2816</v>
      </c>
      <c r="D804" s="1241" t="s">
        <v>3521</v>
      </c>
      <c r="E804" s="1245" t="s">
        <v>38</v>
      </c>
      <c r="F804" s="2319"/>
      <c r="G804" s="2296"/>
    </row>
    <row r="805" spans="3:7" hidden="1">
      <c r="C805" s="1272" t="s">
        <v>2817</v>
      </c>
      <c r="D805" s="1262" t="s">
        <v>3531</v>
      </c>
      <c r="E805" s="1273"/>
      <c r="F805" s="2319"/>
      <c r="G805" s="2296"/>
    </row>
    <row r="806" spans="3:7" hidden="1">
      <c r="C806" s="1268" t="s">
        <v>2818</v>
      </c>
      <c r="D806" s="1241" t="s">
        <v>3532</v>
      </c>
      <c r="E806" s="1245" t="s">
        <v>36</v>
      </c>
      <c r="F806" s="2319"/>
      <c r="G806" s="2296"/>
    </row>
    <row r="807" spans="3:7" hidden="1">
      <c r="C807" s="1272" t="s">
        <v>2819</v>
      </c>
      <c r="D807" s="1262" t="s">
        <v>3534</v>
      </c>
      <c r="E807" s="1273"/>
      <c r="F807" s="2319"/>
      <c r="G807" s="2296"/>
    </row>
    <row r="808" spans="3:7" hidden="1">
      <c r="C808" s="1268" t="s">
        <v>2820</v>
      </c>
      <c r="D808" s="1241" t="s">
        <v>3563</v>
      </c>
      <c r="E808" s="1245" t="s">
        <v>36</v>
      </c>
      <c r="F808" s="2319"/>
      <c r="G808" s="2296"/>
    </row>
    <row r="809" spans="3:7" hidden="1">
      <c r="C809" s="1268" t="s">
        <v>2821</v>
      </c>
      <c r="D809" s="1241" t="s">
        <v>3564</v>
      </c>
      <c r="E809" s="1245" t="s">
        <v>36</v>
      </c>
      <c r="F809" s="2319"/>
      <c r="G809" s="2296"/>
    </row>
    <row r="810" spans="3:7" hidden="1">
      <c r="C810" s="1268" t="s">
        <v>2822</v>
      </c>
      <c r="D810" s="1241" t="s">
        <v>3565</v>
      </c>
      <c r="E810" s="1245" t="s">
        <v>36</v>
      </c>
      <c r="F810" s="2319"/>
      <c r="G810" s="2296"/>
    </row>
    <row r="811" spans="3:7" hidden="1">
      <c r="C811" s="1263" t="s">
        <v>2090</v>
      </c>
      <c r="D811" s="1264" t="s">
        <v>3566</v>
      </c>
      <c r="E811" s="1265"/>
      <c r="F811" s="2319"/>
      <c r="G811" s="2296"/>
    </row>
    <row r="812" spans="3:7" hidden="1">
      <c r="C812" s="1272" t="s">
        <v>2091</v>
      </c>
      <c r="D812" s="1262" t="s">
        <v>3567</v>
      </c>
      <c r="E812" s="1273"/>
      <c r="F812" s="2319"/>
      <c r="G812" s="2296"/>
    </row>
    <row r="813" spans="3:7" hidden="1">
      <c r="C813" s="1268" t="s">
        <v>2092</v>
      </c>
      <c r="D813" s="1241" t="s">
        <v>3544</v>
      </c>
      <c r="E813" s="1245" t="s">
        <v>38</v>
      </c>
      <c r="F813" s="2319"/>
      <c r="G813" s="2296"/>
    </row>
    <row r="814" spans="3:7" hidden="1">
      <c r="C814" s="1272" t="s">
        <v>2103</v>
      </c>
      <c r="D814" s="1262" t="s">
        <v>3520</v>
      </c>
      <c r="E814" s="1273"/>
      <c r="F814" s="2319"/>
      <c r="G814" s="2296"/>
    </row>
    <row r="815" spans="3:7" hidden="1">
      <c r="C815" s="1268" t="s">
        <v>2104</v>
      </c>
      <c r="D815" s="1241" t="s">
        <v>3525</v>
      </c>
      <c r="E815" s="1245" t="s">
        <v>38</v>
      </c>
      <c r="F815" s="2319"/>
      <c r="G815" s="2296"/>
    </row>
    <row r="816" spans="3:7" hidden="1">
      <c r="C816" s="1272" t="s">
        <v>2117</v>
      </c>
      <c r="D816" s="1262" t="s">
        <v>3531</v>
      </c>
      <c r="E816" s="1273"/>
      <c r="F816" s="2319"/>
      <c r="G816" s="2296"/>
    </row>
    <row r="817" spans="3:7" hidden="1">
      <c r="C817" s="1268" t="s">
        <v>2118</v>
      </c>
      <c r="D817" s="1241" t="s">
        <v>3532</v>
      </c>
      <c r="E817" s="1245" t="s">
        <v>36</v>
      </c>
      <c r="F817" s="2319"/>
      <c r="G817" s="2296"/>
    </row>
    <row r="818" spans="3:7" hidden="1">
      <c r="C818" s="1268" t="s">
        <v>2823</v>
      </c>
      <c r="D818" s="1241" t="s">
        <v>3533</v>
      </c>
      <c r="E818" s="1245" t="s">
        <v>36</v>
      </c>
      <c r="F818" s="2319"/>
      <c r="G818" s="2296"/>
    </row>
    <row r="819" spans="3:7" hidden="1">
      <c r="C819" s="1272" t="s">
        <v>2231</v>
      </c>
      <c r="D819" s="1262" t="s">
        <v>3534</v>
      </c>
      <c r="E819" s="1273"/>
      <c r="F819" s="2319"/>
      <c r="G819" s="2296"/>
    </row>
    <row r="820" spans="3:7" hidden="1">
      <c r="C820" s="1268" t="s">
        <v>2232</v>
      </c>
      <c r="D820" s="1241" t="s">
        <v>3568</v>
      </c>
      <c r="E820" s="1245" t="s">
        <v>36</v>
      </c>
      <c r="F820" s="2319"/>
      <c r="G820" s="2296"/>
    </row>
    <row r="821" spans="3:7" hidden="1">
      <c r="C821" s="1263" t="s">
        <v>2105</v>
      </c>
      <c r="D821" s="1264" t="s">
        <v>3569</v>
      </c>
      <c r="E821" s="1265"/>
      <c r="F821" s="2319"/>
      <c r="G821" s="2296"/>
    </row>
    <row r="822" spans="3:7" hidden="1">
      <c r="C822" s="1272" t="s">
        <v>2107</v>
      </c>
      <c r="D822" s="1262" t="s">
        <v>3502</v>
      </c>
      <c r="E822" s="1273"/>
      <c r="F822" s="2319"/>
      <c r="G822" s="2296"/>
    </row>
    <row r="823" spans="3:7" hidden="1">
      <c r="C823" s="1268" t="s">
        <v>2108</v>
      </c>
      <c r="D823" s="1241" t="s">
        <v>3544</v>
      </c>
      <c r="E823" s="1245" t="s">
        <v>38</v>
      </c>
      <c r="F823" s="2319"/>
      <c r="G823" s="2296"/>
    </row>
    <row r="824" spans="3:7" hidden="1">
      <c r="C824" s="1272" t="s">
        <v>2137</v>
      </c>
      <c r="D824" s="1262" t="s">
        <v>3546</v>
      </c>
      <c r="E824" s="1273"/>
      <c r="F824" s="2319"/>
      <c r="G824" s="2296"/>
    </row>
    <row r="825" spans="3:7" hidden="1">
      <c r="C825" s="1268" t="s">
        <v>2150</v>
      </c>
      <c r="D825" s="1241" t="s">
        <v>3570</v>
      </c>
      <c r="E825" s="1245" t="s">
        <v>1452</v>
      </c>
      <c r="F825" s="2319"/>
      <c r="G825" s="2296"/>
    </row>
    <row r="826" spans="3:7" hidden="1">
      <c r="C826" s="1272" t="s">
        <v>2197</v>
      </c>
      <c r="D826" s="1262" t="s">
        <v>3520</v>
      </c>
      <c r="E826" s="1273"/>
      <c r="F826" s="2319"/>
      <c r="G826" s="2296"/>
    </row>
    <row r="827" spans="3:7" hidden="1">
      <c r="C827" s="1268" t="s">
        <v>2198</v>
      </c>
      <c r="D827" s="1241" t="s">
        <v>3571</v>
      </c>
      <c r="E827" s="1245" t="s">
        <v>38</v>
      </c>
      <c r="F827" s="2319"/>
      <c r="G827" s="2296"/>
    </row>
    <row r="828" spans="3:7" hidden="1">
      <c r="C828" s="1268" t="s">
        <v>2824</v>
      </c>
      <c r="D828" s="1241" t="s">
        <v>3572</v>
      </c>
      <c r="E828" s="1245" t="s">
        <v>38</v>
      </c>
      <c r="F828" s="2319"/>
      <c r="G828" s="2296"/>
    </row>
    <row r="829" spans="3:7" hidden="1">
      <c r="C829" s="1268" t="s">
        <v>2825</v>
      </c>
      <c r="D829" s="1241" t="s">
        <v>3573</v>
      </c>
      <c r="E829" s="1245" t="s">
        <v>38</v>
      </c>
      <c r="F829" s="2319"/>
      <c r="G829" s="2296"/>
    </row>
    <row r="830" spans="3:7" hidden="1">
      <c r="C830" s="1268" t="s">
        <v>2826</v>
      </c>
      <c r="D830" s="1241" t="s">
        <v>3548</v>
      </c>
      <c r="E830" s="1245" t="s">
        <v>38</v>
      </c>
      <c r="F830" s="2319"/>
      <c r="G830" s="2296"/>
    </row>
    <row r="831" spans="3:7" hidden="1">
      <c r="C831" s="1573" t="s">
        <v>1879</v>
      </c>
      <c r="D831" s="1574" t="s">
        <v>3635</v>
      </c>
      <c r="E831" s="1245"/>
      <c r="F831" s="2319"/>
      <c r="G831" s="2296"/>
    </row>
    <row r="832" spans="3:7" hidden="1">
      <c r="C832" s="1576" t="s">
        <v>3636</v>
      </c>
      <c r="D832" s="1577" t="s">
        <v>3646</v>
      </c>
      <c r="E832" s="1245" t="s">
        <v>41</v>
      </c>
      <c r="F832" s="2319"/>
      <c r="G832" s="2296"/>
    </row>
    <row r="833" spans="3:36" hidden="1">
      <c r="C833" s="1573" t="s">
        <v>3637</v>
      </c>
      <c r="D833" s="1574" t="s">
        <v>3638</v>
      </c>
      <c r="E833" s="1245"/>
      <c r="F833" s="2319"/>
      <c r="G833" s="2296"/>
    </row>
    <row r="834" spans="3:36" ht="13.8" hidden="1" thickBot="1">
      <c r="C834" s="1578" t="s">
        <v>3639</v>
      </c>
      <c r="D834" s="1579" t="s">
        <v>3640</v>
      </c>
      <c r="E834" s="1245" t="s">
        <v>41</v>
      </c>
      <c r="F834" s="2320"/>
      <c r="G834" s="2296"/>
    </row>
    <row r="836" spans="3:36" ht="15" customHeight="1">
      <c r="G836" s="2325"/>
      <c r="H836" s="2325"/>
      <c r="I836" s="2325"/>
      <c r="J836" s="2325"/>
      <c r="K836" s="2325"/>
      <c r="L836" s="2325"/>
      <c r="M836" s="2325"/>
      <c r="N836" s="2325"/>
      <c r="O836" s="2325"/>
      <c r="P836" s="2325"/>
      <c r="Q836" s="2325"/>
      <c r="R836" s="2325"/>
      <c r="S836" s="2325"/>
      <c r="T836" s="2325"/>
      <c r="U836" s="2325"/>
      <c r="V836" s="2325"/>
      <c r="W836" s="2325"/>
      <c r="X836" s="2325"/>
      <c r="Y836" s="2325"/>
      <c r="Z836" s="2325"/>
      <c r="AA836" s="2325"/>
      <c r="AB836" s="2325"/>
      <c r="AC836" s="2325"/>
      <c r="AD836" s="2325"/>
      <c r="AE836" s="2325"/>
      <c r="AF836" s="2325"/>
      <c r="AG836" s="2325"/>
      <c r="AH836" s="2325"/>
      <c r="AI836" s="2325"/>
      <c r="AJ836" s="2326"/>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topLeftCell="A255" zoomScale="115" zoomScaleNormal="100" zoomScaleSheetLayoutView="115" workbookViewId="0">
      <selection activeCell="D256" sqref="D256"/>
    </sheetView>
  </sheetViews>
  <sheetFormatPr baseColWidth="10" defaultRowHeight="13.2"/>
  <cols>
    <col min="2" max="2" width="1.33203125" customWidth="1"/>
    <col min="3" max="3" width="12" customWidth="1"/>
    <col min="4" max="4" width="64.44140625" customWidth="1"/>
    <col min="5" max="5" width="10.5546875" customWidth="1"/>
    <col min="6" max="6" width="11.5546875" style="2300"/>
    <col min="7" max="7" width="1" customWidth="1"/>
  </cols>
  <sheetData>
    <row r="2" spans="3:6" ht="14.4">
      <c r="C2" s="1464" t="s">
        <v>4355</v>
      </c>
      <c r="D2" s="1455"/>
      <c r="E2" s="1455"/>
      <c r="F2" s="1455"/>
    </row>
    <row r="3" spans="3:6" ht="15" thickBot="1">
      <c r="C3" s="1464"/>
      <c r="D3" s="1455"/>
      <c r="E3" s="1455"/>
      <c r="F3" s="1455"/>
    </row>
    <row r="4" spans="3:6">
      <c r="C4" s="2869" t="s">
        <v>20</v>
      </c>
      <c r="D4" s="2869" t="s">
        <v>21</v>
      </c>
      <c r="E4" s="2869" t="s">
        <v>4339</v>
      </c>
      <c r="F4" s="2869" t="s">
        <v>4354</v>
      </c>
    </row>
    <row r="5" spans="3:6">
      <c r="C5" s="2870"/>
      <c r="D5" s="2870"/>
      <c r="E5" s="2870"/>
      <c r="F5" s="2870"/>
    </row>
    <row r="6" spans="3:6">
      <c r="C6" s="2870"/>
      <c r="D6" s="2870"/>
      <c r="E6" s="2870"/>
      <c r="F6" s="2870"/>
    </row>
    <row r="7" spans="3:6" ht="13.8" thickBot="1">
      <c r="C7" s="2871"/>
      <c r="D7" s="2871"/>
      <c r="E7" s="2871"/>
      <c r="F7" s="2871"/>
    </row>
    <row r="8" spans="3:6" ht="13.2" customHeight="1">
      <c r="C8" s="1268" t="s">
        <v>33</v>
      </c>
      <c r="D8" s="2130" t="s">
        <v>3626</v>
      </c>
      <c r="E8" s="1655"/>
      <c r="F8" s="1882"/>
    </row>
    <row r="9" spans="3:6" ht="13.2" hidden="1" customHeight="1">
      <c r="C9" s="1752" t="s">
        <v>35</v>
      </c>
      <c r="D9" s="1746" t="s">
        <v>2899</v>
      </c>
      <c r="E9" s="1667"/>
      <c r="F9" s="1895"/>
    </row>
    <row r="10" spans="3:6" ht="13.2" hidden="1" customHeight="1">
      <c r="C10" s="1654" t="s">
        <v>537</v>
      </c>
      <c r="D10" s="1666" t="s">
        <v>2900</v>
      </c>
      <c r="E10" s="1667" t="s">
        <v>40</v>
      </c>
      <c r="F10" s="1895">
        <f>+'VAL AMP4 MM'!L17</f>
        <v>0</v>
      </c>
    </row>
    <row r="11" spans="3:6" ht="13.2" hidden="1" customHeight="1">
      <c r="C11" s="1654" t="s">
        <v>538</v>
      </c>
      <c r="D11" s="1666" t="s">
        <v>2902</v>
      </c>
      <c r="E11" s="1667" t="s">
        <v>40</v>
      </c>
      <c r="F11" s="1895">
        <f>+'VAL AMP4 MM'!L18</f>
        <v>0</v>
      </c>
    </row>
    <row r="12" spans="3:6" ht="13.2" hidden="1" customHeight="1">
      <c r="C12" s="1654" t="s">
        <v>539</v>
      </c>
      <c r="D12" s="1666" t="s">
        <v>2903</v>
      </c>
      <c r="E12" s="1667" t="s">
        <v>40</v>
      </c>
      <c r="F12" s="1895">
        <f>+'VAL AMP4 MM'!L19</f>
        <v>0</v>
      </c>
    </row>
    <row r="13" spans="3:6" ht="13.2" hidden="1" customHeight="1">
      <c r="C13" s="1654" t="s">
        <v>540</v>
      </c>
      <c r="D13" s="1666" t="s">
        <v>2904</v>
      </c>
      <c r="E13" s="1667" t="s">
        <v>40</v>
      </c>
      <c r="F13" s="1895">
        <f>+'VAL AMP4 MM'!L20</f>
        <v>0</v>
      </c>
    </row>
    <row r="14" spans="3:6" ht="13.2" hidden="1" customHeight="1">
      <c r="C14" s="1654" t="s">
        <v>541</v>
      </c>
      <c r="D14" s="1666" t="s">
        <v>3744</v>
      </c>
      <c r="E14" s="1667" t="s">
        <v>40</v>
      </c>
      <c r="F14" s="1895">
        <f>+'VAL AMP4 MM'!L21</f>
        <v>0</v>
      </c>
    </row>
    <row r="15" spans="3:6" ht="13.2" hidden="1" customHeight="1">
      <c r="C15" s="1654" t="s">
        <v>3745</v>
      </c>
      <c r="D15" s="1666" t="s">
        <v>2901</v>
      </c>
      <c r="E15" s="1667" t="s">
        <v>37</v>
      </c>
      <c r="F15" s="1895">
        <f>+'VAL AMP4 MM'!L22</f>
        <v>0</v>
      </c>
    </row>
    <row r="16" spans="3:6" ht="13.2" hidden="1" customHeight="1">
      <c r="C16" s="1752" t="s">
        <v>39</v>
      </c>
      <c r="D16" s="1746" t="s">
        <v>3746</v>
      </c>
      <c r="E16" s="1667"/>
      <c r="F16" s="1895"/>
    </row>
    <row r="17" spans="3:6" ht="13.2" hidden="1" customHeight="1">
      <c r="C17" s="1752" t="s">
        <v>542</v>
      </c>
      <c r="D17" s="1746" t="s">
        <v>2907</v>
      </c>
      <c r="E17" s="1667"/>
      <c r="F17" s="1895"/>
    </row>
    <row r="18" spans="3:6" ht="13.2" hidden="1" customHeight="1">
      <c r="C18" s="1654" t="s">
        <v>3747</v>
      </c>
      <c r="D18" s="1666" t="s">
        <v>3748</v>
      </c>
      <c r="E18" s="1667" t="s">
        <v>37</v>
      </c>
      <c r="F18" s="1895">
        <f>+'VAL AMP4 MM'!L25</f>
        <v>0</v>
      </c>
    </row>
    <row r="19" spans="3:6" ht="13.2" hidden="1" customHeight="1">
      <c r="C19" s="1752" t="s">
        <v>543</v>
      </c>
      <c r="D19" s="1746" t="s">
        <v>2911</v>
      </c>
      <c r="E19" s="1667"/>
      <c r="F19" s="1895"/>
    </row>
    <row r="20" spans="3:6" ht="13.2" hidden="1" customHeight="1">
      <c r="C20" s="1654" t="s">
        <v>3749</v>
      </c>
      <c r="D20" s="1666" t="s">
        <v>3750</v>
      </c>
      <c r="E20" s="1667" t="s">
        <v>40</v>
      </c>
      <c r="F20" s="1895">
        <f>+'VAL AMP4 MM'!L27</f>
        <v>0</v>
      </c>
    </row>
    <row r="21" spans="3:6" ht="13.2" hidden="1" customHeight="1">
      <c r="C21" s="1654" t="s">
        <v>3751</v>
      </c>
      <c r="D21" s="1666" t="s">
        <v>3752</v>
      </c>
      <c r="E21" s="1667" t="s">
        <v>37</v>
      </c>
      <c r="F21" s="1895">
        <f>+'VAL AMP4 MM'!L28</f>
        <v>0</v>
      </c>
    </row>
    <row r="22" spans="3:6" ht="13.2" hidden="1" customHeight="1">
      <c r="C22" s="1752" t="s">
        <v>544</v>
      </c>
      <c r="D22" s="1746" t="s">
        <v>2914</v>
      </c>
      <c r="E22" s="1667"/>
      <c r="F22" s="1895"/>
    </row>
    <row r="23" spans="3:6" ht="13.2" hidden="1" customHeight="1">
      <c r="C23" s="1654" t="s">
        <v>3753</v>
      </c>
      <c r="D23" s="1666" t="s">
        <v>2915</v>
      </c>
      <c r="E23" s="1667" t="s">
        <v>40</v>
      </c>
      <c r="F23" s="1895">
        <f>+'VAL AMP4 MM'!L30</f>
        <v>0</v>
      </c>
    </row>
    <row r="24" spans="3:6" ht="13.2" hidden="1" customHeight="1">
      <c r="C24" s="1654" t="s">
        <v>3754</v>
      </c>
      <c r="D24" s="1666" t="s">
        <v>2916</v>
      </c>
      <c r="E24" s="1667" t="s">
        <v>37</v>
      </c>
      <c r="F24" s="1895">
        <f>+'VAL AMP4 MM'!L31</f>
        <v>0</v>
      </c>
    </row>
    <row r="25" spans="3:6" ht="13.2" customHeight="1">
      <c r="C25" s="1752" t="s">
        <v>545</v>
      </c>
      <c r="D25" s="1746" t="s">
        <v>2935</v>
      </c>
      <c r="E25" s="1667"/>
      <c r="F25" s="1895"/>
    </row>
    <row r="26" spans="3:6" ht="13.2" customHeight="1">
      <c r="C26" s="1752" t="s">
        <v>546</v>
      </c>
      <c r="D26" s="1746" t="s">
        <v>2936</v>
      </c>
      <c r="E26" s="1667"/>
      <c r="F26" s="1895"/>
    </row>
    <row r="27" spans="3:6" ht="13.2" customHeight="1">
      <c r="C27" s="1654" t="s">
        <v>3755</v>
      </c>
      <c r="D27" s="1666" t="s">
        <v>2937</v>
      </c>
      <c r="E27" s="1667" t="s">
        <v>40</v>
      </c>
      <c r="F27" s="1895">
        <f>+'VAL AMP4 MM'!L34</f>
        <v>26.706000000000003</v>
      </c>
    </row>
    <row r="28" spans="3:6" ht="13.2" customHeight="1">
      <c r="C28" s="1654" t="s">
        <v>3756</v>
      </c>
      <c r="D28" s="1666" t="s">
        <v>2938</v>
      </c>
      <c r="E28" s="1667" t="s">
        <v>48</v>
      </c>
      <c r="F28" s="1895">
        <f>+'VAL AMP4 MM'!L35</f>
        <v>1732.64</v>
      </c>
    </row>
    <row r="29" spans="3:6" ht="13.2" hidden="1" customHeight="1">
      <c r="C29" s="1752" t="s">
        <v>547</v>
      </c>
      <c r="D29" s="1746" t="s">
        <v>2939</v>
      </c>
      <c r="E29" s="1667"/>
      <c r="F29" s="1895"/>
    </row>
    <row r="30" spans="3:6" ht="13.2" hidden="1" customHeight="1">
      <c r="C30" s="1654" t="s">
        <v>3757</v>
      </c>
      <c r="D30" s="1666" t="s">
        <v>3758</v>
      </c>
      <c r="E30" s="1667" t="s">
        <v>40</v>
      </c>
      <c r="F30" s="1895">
        <f>+'VAL AMP4 MM'!L37</f>
        <v>0</v>
      </c>
    </row>
    <row r="31" spans="3:6" ht="13.2" hidden="1" customHeight="1">
      <c r="C31" s="1654" t="s">
        <v>3759</v>
      </c>
      <c r="D31" s="1666" t="s">
        <v>2941</v>
      </c>
      <c r="E31" s="1667" t="s">
        <v>37</v>
      </c>
      <c r="F31" s="1895">
        <f>+'VAL AMP4 MM'!L38</f>
        <v>0</v>
      </c>
    </row>
    <row r="32" spans="3:6" ht="13.2" hidden="1" customHeight="1">
      <c r="C32" s="1654" t="s">
        <v>3760</v>
      </c>
      <c r="D32" s="1666" t="s">
        <v>2942</v>
      </c>
      <c r="E32" s="1667" t="s">
        <v>48</v>
      </c>
      <c r="F32" s="1895">
        <f>+'VAL AMP4 MM'!L39</f>
        <v>0</v>
      </c>
    </row>
    <row r="33" spans="3:6" ht="13.2" customHeight="1">
      <c r="C33" s="1752" t="s">
        <v>2250</v>
      </c>
      <c r="D33" s="1746" t="s">
        <v>2947</v>
      </c>
      <c r="E33" s="1667"/>
      <c r="F33" s="1895"/>
    </row>
    <row r="34" spans="3:6" ht="13.2" hidden="1" customHeight="1">
      <c r="C34" s="1654" t="s">
        <v>3761</v>
      </c>
      <c r="D34" s="1666" t="s">
        <v>3762</v>
      </c>
      <c r="E34" s="1667" t="s">
        <v>40</v>
      </c>
      <c r="F34" s="1895">
        <f>+'VAL AMP4 MM'!L41</f>
        <v>0</v>
      </c>
    </row>
    <row r="35" spans="3:6" ht="13.2" customHeight="1">
      <c r="C35" s="1654" t="s">
        <v>3763</v>
      </c>
      <c r="D35" s="1666" t="s">
        <v>2949</v>
      </c>
      <c r="E35" s="1667" t="s">
        <v>37</v>
      </c>
      <c r="F35" s="1895">
        <f>+'VAL AMP4 MM'!L42</f>
        <v>297.82900000000001</v>
      </c>
    </row>
    <row r="36" spans="3:6" ht="13.2" hidden="1" customHeight="1">
      <c r="C36" s="1654" t="s">
        <v>3764</v>
      </c>
      <c r="D36" s="1666" t="s">
        <v>2950</v>
      </c>
      <c r="E36" s="1667" t="s">
        <v>48</v>
      </c>
      <c r="F36" s="1895">
        <f>+'VAL AMP4 MM'!L43</f>
        <v>0</v>
      </c>
    </row>
    <row r="37" spans="3:6" ht="13.2" hidden="1" customHeight="1">
      <c r="C37" s="1752" t="s">
        <v>2251</v>
      </c>
      <c r="D37" s="1746" t="s">
        <v>2952</v>
      </c>
      <c r="E37" s="1667"/>
      <c r="F37" s="1895"/>
    </row>
    <row r="38" spans="3:6" ht="13.2" hidden="1" customHeight="1">
      <c r="C38" s="1654" t="s">
        <v>3765</v>
      </c>
      <c r="D38" s="1666" t="s">
        <v>2953</v>
      </c>
      <c r="E38" s="1667" t="s">
        <v>40</v>
      </c>
      <c r="F38" s="1895">
        <f>+'VAL AMP4 MM'!L45</f>
        <v>0</v>
      </c>
    </row>
    <row r="39" spans="3:6" ht="13.2" hidden="1" customHeight="1">
      <c r="C39" s="1654" t="s">
        <v>3766</v>
      </c>
      <c r="D39" s="1666" t="s">
        <v>2954</v>
      </c>
      <c r="E39" s="1667" t="s">
        <v>37</v>
      </c>
      <c r="F39" s="1895">
        <f>+'VAL AMP4 MM'!L46</f>
        <v>0</v>
      </c>
    </row>
    <row r="40" spans="3:6" ht="13.2" hidden="1" customHeight="1">
      <c r="C40" s="1654" t="s">
        <v>3767</v>
      </c>
      <c r="D40" s="1666" t="s">
        <v>2955</v>
      </c>
      <c r="E40" s="1667" t="s">
        <v>48</v>
      </c>
      <c r="F40" s="1895">
        <f>+'VAL AMP4 MM'!L47</f>
        <v>0</v>
      </c>
    </row>
    <row r="41" spans="3:6" ht="13.2" hidden="1" customHeight="1">
      <c r="C41" s="1752" t="s">
        <v>3768</v>
      </c>
      <c r="D41" s="1746" t="s">
        <v>2960</v>
      </c>
      <c r="E41" s="1667"/>
      <c r="F41" s="1895"/>
    </row>
    <row r="42" spans="3:6" ht="13.2" hidden="1" customHeight="1">
      <c r="C42" s="1654" t="s">
        <v>3769</v>
      </c>
      <c r="D42" s="1666" t="s">
        <v>3770</v>
      </c>
      <c r="E42" s="1667" t="s">
        <v>40</v>
      </c>
      <c r="F42" s="1895">
        <f>+'VAL AMP4 MM'!L49</f>
        <v>0</v>
      </c>
    </row>
    <row r="43" spans="3:6" ht="13.2" hidden="1" customHeight="1">
      <c r="C43" s="1654" t="s">
        <v>3771</v>
      </c>
      <c r="D43" s="1666" t="s">
        <v>2962</v>
      </c>
      <c r="E43" s="1667" t="s">
        <v>37</v>
      </c>
      <c r="F43" s="1895">
        <f>+'VAL AMP4 MM'!L50</f>
        <v>0</v>
      </c>
    </row>
    <row r="44" spans="3:6" ht="13.2" hidden="1" customHeight="1">
      <c r="C44" s="1654" t="s">
        <v>3772</v>
      </c>
      <c r="D44" s="1666" t="s">
        <v>2963</v>
      </c>
      <c r="E44" s="1667" t="s">
        <v>48</v>
      </c>
      <c r="F44" s="1895">
        <f>+'VAL AMP4 MM'!L51</f>
        <v>0</v>
      </c>
    </row>
    <row r="45" spans="3:6" ht="13.2" hidden="1" customHeight="1">
      <c r="C45" s="1752" t="s">
        <v>3773</v>
      </c>
      <c r="D45" s="1746" t="s">
        <v>2964</v>
      </c>
      <c r="E45" s="1667"/>
      <c r="F45" s="1895">
        <f>+'VAL AMP4 MM'!L52</f>
        <v>0</v>
      </c>
    </row>
    <row r="46" spans="3:6" ht="13.2" hidden="1" customHeight="1">
      <c r="C46" s="1654" t="s">
        <v>3774</v>
      </c>
      <c r="D46" s="1666" t="s">
        <v>3775</v>
      </c>
      <c r="E46" s="1667" t="s">
        <v>40</v>
      </c>
      <c r="F46" s="1895">
        <f>+'VAL AMP4 MM'!L53</f>
        <v>0</v>
      </c>
    </row>
    <row r="47" spans="3:6" ht="13.2" hidden="1" customHeight="1">
      <c r="C47" s="1654" t="s">
        <v>3776</v>
      </c>
      <c r="D47" s="1666" t="s">
        <v>2966</v>
      </c>
      <c r="E47" s="1667" t="s">
        <v>37</v>
      </c>
      <c r="F47" s="1895">
        <f>+'VAL AMP4 MM'!L54</f>
        <v>0</v>
      </c>
    </row>
    <row r="48" spans="3:6" ht="13.2" hidden="1" customHeight="1">
      <c r="C48" s="1654" t="s">
        <v>3777</v>
      </c>
      <c r="D48" s="1666" t="s">
        <v>2967</v>
      </c>
      <c r="E48" s="1667" t="s">
        <v>48</v>
      </c>
      <c r="F48" s="1895">
        <f>+'VAL AMP4 MM'!L55</f>
        <v>0</v>
      </c>
    </row>
    <row r="49" spans="3:6" ht="13.2" hidden="1" customHeight="1">
      <c r="C49" s="1752" t="s">
        <v>3778</v>
      </c>
      <c r="D49" s="1746" t="s">
        <v>3779</v>
      </c>
      <c r="E49" s="1667"/>
      <c r="F49" s="1895"/>
    </row>
    <row r="50" spans="3:6" ht="13.2" hidden="1" customHeight="1">
      <c r="C50" s="1654" t="s">
        <v>3780</v>
      </c>
      <c r="D50" s="1666" t="s">
        <v>2969</v>
      </c>
      <c r="E50" s="1667" t="s">
        <v>40</v>
      </c>
      <c r="F50" s="1895">
        <f>+'VAL AMP4 MM'!L57</f>
        <v>0</v>
      </c>
    </row>
    <row r="51" spans="3:6" ht="13.2" hidden="1" customHeight="1">
      <c r="C51" s="1654" t="s">
        <v>3781</v>
      </c>
      <c r="D51" s="1666" t="s">
        <v>2970</v>
      </c>
      <c r="E51" s="1667" t="s">
        <v>37</v>
      </c>
      <c r="F51" s="1895">
        <f>+'VAL AMP4 MM'!L58</f>
        <v>0</v>
      </c>
    </row>
    <row r="52" spans="3:6" ht="13.2" hidden="1" customHeight="1">
      <c r="C52" s="1654" t="s">
        <v>3782</v>
      </c>
      <c r="D52" s="1666" t="s">
        <v>2971</v>
      </c>
      <c r="E52" s="1667" t="s">
        <v>48</v>
      </c>
      <c r="F52" s="1895">
        <f>+'VAL AMP4 MM'!L59</f>
        <v>0</v>
      </c>
    </row>
    <row r="53" spans="3:6" ht="13.2" hidden="1" customHeight="1">
      <c r="C53" s="1654" t="s">
        <v>3783</v>
      </c>
      <c r="D53" s="1666" t="s">
        <v>2972</v>
      </c>
      <c r="E53" s="1667" t="s">
        <v>36</v>
      </c>
      <c r="F53" s="1895">
        <f>+'VAL AMP4 MM'!L60</f>
        <v>0</v>
      </c>
    </row>
    <row r="54" spans="3:6" ht="13.2" hidden="1" customHeight="1">
      <c r="C54" s="1752" t="s">
        <v>3784</v>
      </c>
      <c r="D54" s="1746" t="s">
        <v>2973</v>
      </c>
      <c r="E54" s="1667"/>
      <c r="F54" s="1895"/>
    </row>
    <row r="55" spans="3:6" ht="13.2" hidden="1" customHeight="1">
      <c r="C55" s="1654" t="s">
        <v>3785</v>
      </c>
      <c r="D55" s="1666" t="s">
        <v>2969</v>
      </c>
      <c r="E55" s="1667" t="s">
        <v>40</v>
      </c>
      <c r="F55" s="1895">
        <f>+'VAL AMP4 MM'!L62</f>
        <v>0</v>
      </c>
    </row>
    <row r="56" spans="3:6" ht="13.2" hidden="1" customHeight="1">
      <c r="C56" s="1654" t="s">
        <v>3786</v>
      </c>
      <c r="D56" s="1666" t="s">
        <v>2970</v>
      </c>
      <c r="E56" s="1667" t="s">
        <v>37</v>
      </c>
      <c r="F56" s="1895">
        <f>+'VAL AMP4 MM'!L63</f>
        <v>0</v>
      </c>
    </row>
    <row r="57" spans="3:6" ht="13.2" hidden="1" customHeight="1">
      <c r="C57" s="1654" t="s">
        <v>3787</v>
      </c>
      <c r="D57" s="1666" t="s">
        <v>2971</v>
      </c>
      <c r="E57" s="1667" t="s">
        <v>48</v>
      </c>
      <c r="F57" s="1895">
        <f>+'VAL AMP4 MM'!L64</f>
        <v>0</v>
      </c>
    </row>
    <row r="58" spans="3:6" ht="13.2" hidden="1" customHeight="1">
      <c r="C58" s="1654" t="s">
        <v>3788</v>
      </c>
      <c r="D58" s="1666" t="s">
        <v>2974</v>
      </c>
      <c r="E58" s="1667" t="s">
        <v>36</v>
      </c>
      <c r="F58" s="1895">
        <f>+'VAL AMP4 MM'!L65</f>
        <v>0</v>
      </c>
    </row>
    <row r="59" spans="3:6" ht="13.2" hidden="1" customHeight="1">
      <c r="C59" s="1752" t="s">
        <v>3789</v>
      </c>
      <c r="D59" s="1746" t="s">
        <v>2977</v>
      </c>
      <c r="E59" s="1667"/>
      <c r="F59" s="1895"/>
    </row>
    <row r="60" spans="3:6" ht="13.2" hidden="1" customHeight="1">
      <c r="C60" s="1654" t="s">
        <v>3790</v>
      </c>
      <c r="D60" s="1666" t="s">
        <v>3791</v>
      </c>
      <c r="E60" s="1667" t="s">
        <v>40</v>
      </c>
      <c r="F60" s="1895">
        <f>+'VAL AMP4 MM'!L67</f>
        <v>0</v>
      </c>
    </row>
    <row r="61" spans="3:6" ht="13.2" hidden="1" customHeight="1">
      <c r="C61" s="1654" t="s">
        <v>3792</v>
      </c>
      <c r="D61" s="1666" t="s">
        <v>2979</v>
      </c>
      <c r="E61" s="1667" t="s">
        <v>37</v>
      </c>
      <c r="F61" s="1895">
        <f>+'VAL AMP4 MM'!L68</f>
        <v>0</v>
      </c>
    </row>
    <row r="62" spans="3:6" ht="13.2" hidden="1" customHeight="1">
      <c r="C62" s="1654" t="s">
        <v>3793</v>
      </c>
      <c r="D62" s="1666" t="s">
        <v>2980</v>
      </c>
      <c r="E62" s="1667" t="s">
        <v>48</v>
      </c>
      <c r="F62" s="1895">
        <f>+'VAL AMP4 MM'!L69</f>
        <v>0</v>
      </c>
    </row>
    <row r="63" spans="3:6" ht="13.2" hidden="1" customHeight="1">
      <c r="C63" s="1654" t="s">
        <v>3794</v>
      </c>
      <c r="D63" s="1666" t="s">
        <v>2981</v>
      </c>
      <c r="E63" s="1667" t="s">
        <v>36</v>
      </c>
      <c r="F63" s="1895">
        <f>+'VAL AMP4 MM'!L70</f>
        <v>0</v>
      </c>
    </row>
    <row r="64" spans="3:6" ht="13.2" hidden="1" customHeight="1">
      <c r="C64" s="1752" t="s">
        <v>3795</v>
      </c>
      <c r="D64" s="1746" t="s">
        <v>2982</v>
      </c>
      <c r="E64" s="1667"/>
      <c r="F64" s="1895"/>
    </row>
    <row r="65" spans="3:6" ht="13.2" hidden="1" customHeight="1">
      <c r="C65" s="1654" t="s">
        <v>3796</v>
      </c>
      <c r="D65" s="1666" t="s">
        <v>3791</v>
      </c>
      <c r="E65" s="1667" t="s">
        <v>40</v>
      </c>
      <c r="F65" s="1895">
        <f>+'VAL AMP4 MM'!L72</f>
        <v>0</v>
      </c>
    </row>
    <row r="66" spans="3:6" ht="13.2" hidden="1" customHeight="1">
      <c r="C66" s="1654" t="s">
        <v>3797</v>
      </c>
      <c r="D66" s="1666" t="s">
        <v>2979</v>
      </c>
      <c r="E66" s="1667" t="s">
        <v>37</v>
      </c>
      <c r="F66" s="1895">
        <f>+'VAL AMP4 MM'!L73</f>
        <v>0</v>
      </c>
    </row>
    <row r="67" spans="3:6" ht="13.2" hidden="1" customHeight="1">
      <c r="C67" s="1654" t="s">
        <v>3798</v>
      </c>
      <c r="D67" s="1666" t="s">
        <v>2980</v>
      </c>
      <c r="E67" s="1667" t="s">
        <v>48</v>
      </c>
      <c r="F67" s="1895">
        <f>+'VAL AMP4 MM'!L74</f>
        <v>0</v>
      </c>
    </row>
    <row r="68" spans="3:6" ht="13.2" hidden="1" customHeight="1">
      <c r="C68" s="1654" t="s">
        <v>3799</v>
      </c>
      <c r="D68" s="1666" t="s">
        <v>3800</v>
      </c>
      <c r="E68" s="1667" t="s">
        <v>36</v>
      </c>
      <c r="F68" s="1895">
        <f>+'VAL AMP4 MM'!L75</f>
        <v>0</v>
      </c>
    </row>
    <row r="69" spans="3:6" ht="13.2" hidden="1" customHeight="1">
      <c r="C69" s="1752" t="s">
        <v>3801</v>
      </c>
      <c r="D69" s="1746" t="s">
        <v>2985</v>
      </c>
      <c r="E69" s="1667"/>
      <c r="F69" s="1895"/>
    </row>
    <row r="70" spans="3:6" ht="13.2" hidden="1" customHeight="1">
      <c r="C70" s="1654" t="s">
        <v>3802</v>
      </c>
      <c r="D70" s="1666" t="s">
        <v>2986</v>
      </c>
      <c r="E70" s="1667" t="s">
        <v>40</v>
      </c>
      <c r="F70" s="1895">
        <f>+'VAL AMP4 MM'!L77</f>
        <v>0</v>
      </c>
    </row>
    <row r="71" spans="3:6" ht="13.2" hidden="1" customHeight="1">
      <c r="C71" s="1654" t="s">
        <v>3803</v>
      </c>
      <c r="D71" s="1666" t="s">
        <v>2987</v>
      </c>
      <c r="E71" s="1667" t="s">
        <v>37</v>
      </c>
      <c r="F71" s="1895">
        <f>+'VAL AMP4 MM'!L78</f>
        <v>0</v>
      </c>
    </row>
    <row r="72" spans="3:6" ht="13.2" hidden="1" customHeight="1">
      <c r="C72" s="1654" t="s">
        <v>3804</v>
      </c>
      <c r="D72" s="1666" t="s">
        <v>2988</v>
      </c>
      <c r="E72" s="1667" t="s">
        <v>48</v>
      </c>
      <c r="F72" s="1895">
        <f>+'VAL AMP4 MM'!L79</f>
        <v>0</v>
      </c>
    </row>
    <row r="73" spans="3:6" ht="13.2" hidden="1" customHeight="1">
      <c r="C73" s="1752" t="s">
        <v>3805</v>
      </c>
      <c r="D73" s="1746" t="s">
        <v>2993</v>
      </c>
      <c r="E73" s="1667"/>
      <c r="F73" s="1895"/>
    </row>
    <row r="74" spans="3:6" ht="13.2" hidden="1" customHeight="1">
      <c r="C74" s="1654" t="s">
        <v>3806</v>
      </c>
      <c r="D74" s="1666" t="s">
        <v>2994</v>
      </c>
      <c r="E74" s="1667" t="s">
        <v>40</v>
      </c>
      <c r="F74" s="1895">
        <f>+'VAL AMP4 MM'!L81</f>
        <v>0</v>
      </c>
    </row>
    <row r="75" spans="3:6" ht="13.2" hidden="1" customHeight="1">
      <c r="C75" s="1654" t="s">
        <v>3807</v>
      </c>
      <c r="D75" s="1666" t="s">
        <v>2995</v>
      </c>
      <c r="E75" s="1667" t="s">
        <v>37</v>
      </c>
      <c r="F75" s="1895">
        <f>+'VAL AMP4 MM'!L82</f>
        <v>0</v>
      </c>
    </row>
    <row r="76" spans="3:6" ht="13.2" hidden="1" customHeight="1">
      <c r="C76" s="1654" t="s">
        <v>3808</v>
      </c>
      <c r="D76" s="1666" t="s">
        <v>2996</v>
      </c>
      <c r="E76" s="1667" t="s">
        <v>48</v>
      </c>
      <c r="F76" s="1895">
        <f>+'VAL AMP4 MM'!L83</f>
        <v>0</v>
      </c>
    </row>
    <row r="77" spans="3:6" ht="13.2" hidden="1" customHeight="1">
      <c r="C77" s="1752" t="s">
        <v>3809</v>
      </c>
      <c r="D77" s="1746" t="s">
        <v>2997</v>
      </c>
      <c r="E77" s="1667"/>
      <c r="F77" s="1895"/>
    </row>
    <row r="78" spans="3:6" ht="13.2" hidden="1" customHeight="1">
      <c r="C78" s="1654" t="s">
        <v>3810</v>
      </c>
      <c r="D78" s="1666" t="s">
        <v>3811</v>
      </c>
      <c r="E78" s="1667" t="s">
        <v>40</v>
      </c>
      <c r="F78" s="1895">
        <f>+'VAL AMP4 MM'!L85</f>
        <v>0</v>
      </c>
    </row>
    <row r="79" spans="3:6" ht="13.2" hidden="1" customHeight="1">
      <c r="C79" s="1654" t="s">
        <v>3812</v>
      </c>
      <c r="D79" s="1666" t="s">
        <v>2998</v>
      </c>
      <c r="E79" s="1667" t="s">
        <v>37</v>
      </c>
      <c r="F79" s="1895">
        <f>+'VAL AMP4 MM'!L86</f>
        <v>0</v>
      </c>
    </row>
    <row r="80" spans="3:6" ht="13.2" hidden="1" customHeight="1">
      <c r="C80" s="1654" t="s">
        <v>3813</v>
      </c>
      <c r="D80" s="1666" t="s">
        <v>2999</v>
      </c>
      <c r="E80" s="1667" t="s">
        <v>48</v>
      </c>
      <c r="F80" s="1895">
        <f>+'VAL AMP4 MM'!L87</f>
        <v>0</v>
      </c>
    </row>
    <row r="81" spans="3:6" ht="13.2" hidden="1" customHeight="1">
      <c r="C81" s="1752" t="s">
        <v>3814</v>
      </c>
      <c r="D81" s="1746" t="s">
        <v>3023</v>
      </c>
      <c r="E81" s="1667"/>
      <c r="F81" s="1895">
        <f>+'VAL AMP4 MM'!L88</f>
        <v>0</v>
      </c>
    </row>
    <row r="82" spans="3:6" ht="13.2" hidden="1" customHeight="1">
      <c r="C82" s="1654" t="s">
        <v>3815</v>
      </c>
      <c r="D82" s="1666" t="s">
        <v>3024</v>
      </c>
      <c r="E82" s="1667" t="s">
        <v>2828</v>
      </c>
      <c r="F82" s="1895">
        <f>+'VAL AMP4 MM'!L89</f>
        <v>0</v>
      </c>
    </row>
    <row r="83" spans="3:6" ht="13.2" customHeight="1">
      <c r="C83" s="2129" t="s">
        <v>42</v>
      </c>
      <c r="D83" s="2131" t="s">
        <v>1234</v>
      </c>
      <c r="E83" s="1667"/>
      <c r="F83" s="1895"/>
    </row>
    <row r="84" spans="3:6" ht="13.2" hidden="1" customHeight="1">
      <c r="C84" s="1752" t="s">
        <v>43</v>
      </c>
      <c r="D84" s="1746" t="s">
        <v>3073</v>
      </c>
      <c r="E84" s="1667"/>
      <c r="F84" s="1895"/>
    </row>
    <row r="85" spans="3:6" ht="13.2" hidden="1" customHeight="1">
      <c r="C85" s="1654" t="s">
        <v>53</v>
      </c>
      <c r="D85" s="1666" t="s">
        <v>3816</v>
      </c>
      <c r="E85" s="1667" t="s">
        <v>37</v>
      </c>
      <c r="F85" s="1895">
        <f>+'VAL AMP4 MM'!L92</f>
        <v>0</v>
      </c>
    </row>
    <row r="86" spans="3:6" ht="13.2" hidden="1" customHeight="1">
      <c r="C86" s="1654" t="s">
        <v>564</v>
      </c>
      <c r="D86" s="1666" t="s">
        <v>3817</v>
      </c>
      <c r="E86" s="1667" t="s">
        <v>37</v>
      </c>
      <c r="F86" s="1895">
        <f>+'VAL AMP4 MM'!L93</f>
        <v>0</v>
      </c>
    </row>
    <row r="87" spans="3:6" ht="13.2" hidden="1" customHeight="1">
      <c r="C87" s="1654" t="s">
        <v>571</v>
      </c>
      <c r="D87" s="1666" t="s">
        <v>3818</v>
      </c>
      <c r="E87" s="1667" t="s">
        <v>37</v>
      </c>
      <c r="F87" s="1895">
        <f>+'VAL AMP4 MM'!L94</f>
        <v>0</v>
      </c>
    </row>
    <row r="88" spans="3:6" ht="13.2" customHeight="1">
      <c r="C88" s="1752" t="s">
        <v>44</v>
      </c>
      <c r="D88" s="1746" t="s">
        <v>3081</v>
      </c>
      <c r="E88" s="1667"/>
      <c r="F88" s="1895"/>
    </row>
    <row r="89" spans="3:6" ht="13.2" customHeight="1">
      <c r="C89" s="1654" t="s">
        <v>54</v>
      </c>
      <c r="D89" s="1666" t="s">
        <v>3082</v>
      </c>
      <c r="E89" s="1667" t="s">
        <v>37</v>
      </c>
      <c r="F89" s="1895">
        <f>+'VAL AMP4 MM'!L96</f>
        <v>11.975899999999996</v>
      </c>
    </row>
    <row r="90" spans="3:6" ht="13.2" customHeight="1">
      <c r="C90" s="1654" t="s">
        <v>55</v>
      </c>
      <c r="D90" s="1666" t="s">
        <v>3819</v>
      </c>
      <c r="E90" s="1667" t="s">
        <v>37</v>
      </c>
      <c r="F90" s="1895">
        <f>+'VAL AMP4 MM'!L97</f>
        <v>248.53750000000002</v>
      </c>
    </row>
    <row r="91" spans="3:6" ht="13.2" hidden="1" customHeight="1">
      <c r="C91" s="1654" t="s">
        <v>616</v>
      </c>
      <c r="D91" s="1666" t="s">
        <v>3820</v>
      </c>
      <c r="E91" s="1667" t="s">
        <v>37</v>
      </c>
      <c r="F91" s="1895">
        <f>+'VAL AMP4 MM'!L98</f>
        <v>0</v>
      </c>
    </row>
    <row r="92" spans="3:6" ht="13.2" hidden="1" customHeight="1">
      <c r="C92" s="1654" t="s">
        <v>645</v>
      </c>
      <c r="D92" s="1666" t="s">
        <v>3821</v>
      </c>
      <c r="E92" s="1667" t="s">
        <v>37</v>
      </c>
      <c r="F92" s="1895">
        <f>+'VAL AMP4 MM'!L99</f>
        <v>0</v>
      </c>
    </row>
    <row r="93" spans="3:6" ht="13.2" hidden="1" customHeight="1">
      <c r="C93" s="1654" t="s">
        <v>647</v>
      </c>
      <c r="D93" s="1666" t="s">
        <v>3822</v>
      </c>
      <c r="E93" s="1667" t="s">
        <v>37</v>
      </c>
      <c r="F93" s="1895">
        <f>+'VAL AMP4 MM'!L100</f>
        <v>0</v>
      </c>
    </row>
    <row r="94" spans="3:6" ht="13.2" hidden="1" customHeight="1">
      <c r="C94" s="1654" t="s">
        <v>275</v>
      </c>
      <c r="D94" s="1666" t="s">
        <v>3823</v>
      </c>
      <c r="E94" s="1667" t="s">
        <v>37</v>
      </c>
      <c r="F94" s="1895">
        <f>+'VAL AMP4 MM'!L101</f>
        <v>0</v>
      </c>
    </row>
    <row r="95" spans="3:6" ht="13.2" hidden="1" customHeight="1">
      <c r="C95" s="1654" t="s">
        <v>322</v>
      </c>
      <c r="D95" s="1666" t="s">
        <v>3824</v>
      </c>
      <c r="E95" s="1667" t="s">
        <v>37</v>
      </c>
      <c r="F95" s="1895">
        <f>+'VAL AMP4 MM'!L102</f>
        <v>0</v>
      </c>
    </row>
    <row r="96" spans="3:6" ht="13.2" hidden="1" customHeight="1">
      <c r="C96" s="1654" t="s">
        <v>3825</v>
      </c>
      <c r="D96" s="1666" t="s">
        <v>3826</v>
      </c>
      <c r="E96" s="1667" t="s">
        <v>37</v>
      </c>
      <c r="F96" s="1895">
        <f>+'VAL AMP4 MM'!L103</f>
        <v>0</v>
      </c>
    </row>
    <row r="97" spans="3:6" ht="13.2" hidden="1" customHeight="1">
      <c r="C97" s="1654" t="s">
        <v>2303</v>
      </c>
      <c r="D97" s="1666" t="s">
        <v>3091</v>
      </c>
      <c r="E97" s="1667" t="s">
        <v>37</v>
      </c>
      <c r="F97" s="1895">
        <f>+'VAL AMP4 MM'!L104</f>
        <v>0</v>
      </c>
    </row>
    <row r="98" spans="3:6" ht="13.2" customHeight="1">
      <c r="C98" s="1654" t="s">
        <v>2306</v>
      </c>
      <c r="D98" s="1666" t="s">
        <v>3827</v>
      </c>
      <c r="E98" s="1667" t="s">
        <v>37</v>
      </c>
      <c r="F98" s="1895">
        <f>+'VAL AMP4 MM'!L105</f>
        <v>8.81</v>
      </c>
    </row>
    <row r="99" spans="3:6" ht="13.2" hidden="1" customHeight="1">
      <c r="C99" s="1654" t="s">
        <v>3828</v>
      </c>
      <c r="D99" s="1666" t="s">
        <v>3099</v>
      </c>
      <c r="E99" s="1667" t="s">
        <v>37</v>
      </c>
      <c r="F99" s="1895">
        <f>+'VAL AMP4 MM'!L106</f>
        <v>0</v>
      </c>
    </row>
    <row r="100" spans="3:6" ht="13.2" hidden="1" customHeight="1">
      <c r="C100" s="1654" t="s">
        <v>3829</v>
      </c>
      <c r="D100" s="1666" t="s">
        <v>3830</v>
      </c>
      <c r="E100" s="1667" t="s">
        <v>38</v>
      </c>
      <c r="F100" s="1895">
        <f>+'VAL AMP4 MM'!L107</f>
        <v>0</v>
      </c>
    </row>
    <row r="101" spans="3:6" ht="13.2" hidden="1" customHeight="1">
      <c r="C101" s="1654" t="s">
        <v>3831</v>
      </c>
      <c r="D101" s="1666" t="s">
        <v>3832</v>
      </c>
      <c r="E101" s="1667" t="s">
        <v>38</v>
      </c>
      <c r="F101" s="1895">
        <f>+'VAL AMP4 MM'!L108</f>
        <v>0</v>
      </c>
    </row>
    <row r="102" spans="3:6" ht="13.2" hidden="1" customHeight="1">
      <c r="C102" s="1752" t="s">
        <v>52</v>
      </c>
      <c r="D102" s="1746" t="s">
        <v>3104</v>
      </c>
      <c r="E102" s="1667"/>
      <c r="F102" s="1895"/>
    </row>
    <row r="103" spans="3:6" ht="13.2" hidden="1" customHeight="1">
      <c r="C103" s="1654" t="s">
        <v>56</v>
      </c>
      <c r="D103" s="1666" t="s">
        <v>3833</v>
      </c>
      <c r="E103" s="1667" t="s">
        <v>37</v>
      </c>
      <c r="F103" s="1895">
        <f>+'VAL AMP4 MM'!L110</f>
        <v>0</v>
      </c>
    </row>
    <row r="104" spans="3:6" ht="13.2" customHeight="1">
      <c r="C104" s="1752" t="s">
        <v>516</v>
      </c>
      <c r="D104" s="1746" t="s">
        <v>3107</v>
      </c>
      <c r="E104" s="1667"/>
      <c r="F104" s="1895"/>
    </row>
    <row r="105" spans="3:6" ht="13.2" customHeight="1">
      <c r="C105" s="1752" t="s">
        <v>517</v>
      </c>
      <c r="D105" s="1746" t="s">
        <v>3108</v>
      </c>
      <c r="E105" s="1667"/>
      <c r="F105" s="1895"/>
    </row>
    <row r="106" spans="3:6" ht="13.2" customHeight="1">
      <c r="C106" s="1654" t="s">
        <v>695</v>
      </c>
      <c r="D106" s="1666" t="s">
        <v>3834</v>
      </c>
      <c r="E106" s="1667" t="s">
        <v>37</v>
      </c>
      <c r="F106" s="1895">
        <f>+'VAL AMP4 MM'!L113</f>
        <v>89.99600000000072</v>
      </c>
    </row>
    <row r="107" spans="3:6" ht="13.2" hidden="1" customHeight="1">
      <c r="C107" s="1752" t="s">
        <v>701</v>
      </c>
      <c r="D107" s="1746" t="s">
        <v>3110</v>
      </c>
      <c r="E107" s="1667"/>
      <c r="F107" s="1895"/>
    </row>
    <row r="108" spans="3:6" ht="13.2" hidden="1" customHeight="1">
      <c r="C108" s="1654" t="s">
        <v>702</v>
      </c>
      <c r="D108" s="1666" t="s">
        <v>3119</v>
      </c>
      <c r="E108" s="1667" t="s">
        <v>37</v>
      </c>
      <c r="F108" s="1895">
        <f>+'VAL AMP4 MM'!L115</f>
        <v>0</v>
      </c>
    </row>
    <row r="109" spans="3:6" ht="13.2" hidden="1" customHeight="1">
      <c r="C109" s="1654" t="s">
        <v>703</v>
      </c>
      <c r="D109" s="1666" t="s">
        <v>3120</v>
      </c>
      <c r="E109" s="1667" t="s">
        <v>37</v>
      </c>
      <c r="F109" s="1895">
        <f>+'VAL AMP4 MM'!L116</f>
        <v>0</v>
      </c>
    </row>
    <row r="110" spans="3:6" ht="13.2" hidden="1" customHeight="1">
      <c r="C110" s="1654" t="s">
        <v>704</v>
      </c>
      <c r="D110" s="1666" t="s">
        <v>3123</v>
      </c>
      <c r="E110" s="1667" t="s">
        <v>37</v>
      </c>
      <c r="F110" s="1895">
        <f>+'VAL AMP4 MM'!L117</f>
        <v>0</v>
      </c>
    </row>
    <row r="111" spans="3:6" ht="13.2" hidden="1" customHeight="1">
      <c r="C111" s="1752" t="s">
        <v>742</v>
      </c>
      <c r="D111" s="1746" t="s">
        <v>3129</v>
      </c>
      <c r="E111" s="1667"/>
      <c r="F111" s="1895">
        <f>+'VAL AMP4 MM'!L118</f>
        <v>0</v>
      </c>
    </row>
    <row r="112" spans="3:6" ht="13.2" hidden="1" customHeight="1">
      <c r="C112" s="1752" t="s">
        <v>743</v>
      </c>
      <c r="D112" s="1746" t="s">
        <v>3130</v>
      </c>
      <c r="E112" s="1667"/>
      <c r="F112" s="1895">
        <f>+'VAL AMP4 MM'!L119</f>
        <v>0</v>
      </c>
    </row>
    <row r="113" spans="3:6" ht="13.2" hidden="1" customHeight="1">
      <c r="C113" s="1654" t="s">
        <v>744</v>
      </c>
      <c r="D113" s="1666" t="s">
        <v>3835</v>
      </c>
      <c r="E113" s="1667" t="s">
        <v>37</v>
      </c>
      <c r="F113" s="1895">
        <f>+'VAL AMP4 MM'!L120</f>
        <v>0</v>
      </c>
    </row>
    <row r="114" spans="3:6" ht="13.2" customHeight="1">
      <c r="C114" s="1752" t="s">
        <v>763</v>
      </c>
      <c r="D114" s="1746" t="s">
        <v>3139</v>
      </c>
      <c r="E114" s="1667"/>
      <c r="F114" s="1895"/>
    </row>
    <row r="115" spans="3:6" ht="13.2" customHeight="1">
      <c r="C115" s="1654" t="s">
        <v>764</v>
      </c>
      <c r="D115" s="1666" t="s">
        <v>3140</v>
      </c>
      <c r="E115" s="1667" t="s">
        <v>37</v>
      </c>
      <c r="F115" s="1895">
        <f>+'VAL AMP4 MM'!L122</f>
        <v>29.822000000000024</v>
      </c>
    </row>
    <row r="116" spans="3:6" ht="13.2" hidden="1" customHeight="1">
      <c r="C116" s="1654" t="s">
        <v>767</v>
      </c>
      <c r="D116" s="1666" t="s">
        <v>3141</v>
      </c>
      <c r="E116" s="1667" t="s">
        <v>37</v>
      </c>
      <c r="F116" s="1895">
        <f>+'VAL AMP4 MM'!L123</f>
        <v>0</v>
      </c>
    </row>
    <row r="117" spans="3:6" ht="13.2" customHeight="1">
      <c r="C117" s="1654" t="s">
        <v>771</v>
      </c>
      <c r="D117" s="1666" t="s">
        <v>3143</v>
      </c>
      <c r="E117" s="1667" t="s">
        <v>37</v>
      </c>
      <c r="F117" s="1895">
        <f>+'VAL AMP4 MM'!L124</f>
        <v>21.159999999999986</v>
      </c>
    </row>
    <row r="118" spans="3:6" ht="13.2" hidden="1" customHeight="1">
      <c r="C118" s="1654" t="s">
        <v>3836</v>
      </c>
      <c r="D118" s="1666" t="s">
        <v>3837</v>
      </c>
      <c r="E118" s="1667" t="s">
        <v>37</v>
      </c>
      <c r="F118" s="1895">
        <f>+'VAL AMP4 MM'!L125</f>
        <v>0</v>
      </c>
    </row>
    <row r="119" spans="3:6" ht="13.2" hidden="1" customHeight="1">
      <c r="C119" s="1752" t="s">
        <v>774</v>
      </c>
      <c r="D119" s="1746" t="s">
        <v>3838</v>
      </c>
      <c r="E119" s="1667"/>
      <c r="F119" s="1895"/>
    </row>
    <row r="120" spans="3:6" ht="13.2" hidden="1" customHeight="1">
      <c r="C120" s="1752" t="s">
        <v>775</v>
      </c>
      <c r="D120" s="1746" t="s">
        <v>3839</v>
      </c>
      <c r="E120" s="1667"/>
      <c r="F120" s="1895"/>
    </row>
    <row r="121" spans="3:6" ht="13.2" hidden="1" customHeight="1">
      <c r="C121" s="1654" t="s">
        <v>776</v>
      </c>
      <c r="D121" s="1666" t="s">
        <v>3150</v>
      </c>
      <c r="E121" s="1667" t="s">
        <v>36</v>
      </c>
      <c r="F121" s="1895">
        <f>+'VAL AMP4 MM'!L128</f>
        <v>0</v>
      </c>
    </row>
    <row r="122" spans="3:6" ht="13.2" hidden="1" customHeight="1">
      <c r="C122" s="1752" t="s">
        <v>778</v>
      </c>
      <c r="D122" s="1746" t="s">
        <v>3152</v>
      </c>
      <c r="E122" s="1667"/>
      <c r="F122" s="1895">
        <f>+'VAL AMP4 MM'!L129</f>
        <v>0</v>
      </c>
    </row>
    <row r="123" spans="3:6" ht="13.2" hidden="1" customHeight="1">
      <c r="C123" s="1654" t="s">
        <v>779</v>
      </c>
      <c r="D123" s="1666" t="s">
        <v>3153</v>
      </c>
      <c r="E123" s="1667" t="s">
        <v>37</v>
      </c>
      <c r="F123" s="1895">
        <f>+'VAL AMP4 MM'!L130</f>
        <v>0</v>
      </c>
    </row>
    <row r="124" spans="3:6" ht="13.2" hidden="1" customHeight="1">
      <c r="C124" s="1752" t="s">
        <v>3840</v>
      </c>
      <c r="D124" s="1746" t="s">
        <v>3157</v>
      </c>
      <c r="E124" s="1667"/>
      <c r="F124" s="1895">
        <f>+'VAL AMP4 MM'!L131</f>
        <v>0</v>
      </c>
    </row>
    <row r="125" spans="3:6" ht="13.2" hidden="1" customHeight="1">
      <c r="C125" s="1654" t="s">
        <v>3841</v>
      </c>
      <c r="D125" s="1666" t="s">
        <v>3159</v>
      </c>
      <c r="E125" s="1667" t="s">
        <v>38</v>
      </c>
      <c r="F125" s="1895">
        <f>+'VAL AMP4 MM'!L132</f>
        <v>0</v>
      </c>
    </row>
    <row r="126" spans="3:6" ht="13.2" hidden="1" customHeight="1">
      <c r="C126" s="1654" t="s">
        <v>3842</v>
      </c>
      <c r="D126" s="1666" t="s">
        <v>3843</v>
      </c>
      <c r="E126" s="1667" t="s">
        <v>38</v>
      </c>
      <c r="F126" s="1895">
        <f>+'VAL AMP4 MM'!L133</f>
        <v>0</v>
      </c>
    </row>
    <row r="127" spans="3:6" ht="13.2" hidden="1" customHeight="1">
      <c r="C127" s="1752" t="s">
        <v>781</v>
      </c>
      <c r="D127" s="1746" t="s">
        <v>3176</v>
      </c>
      <c r="E127" s="1667"/>
      <c r="F127" s="1895"/>
    </row>
    <row r="128" spans="3:6" ht="13.2" hidden="1" customHeight="1">
      <c r="C128" s="1654" t="s">
        <v>782</v>
      </c>
      <c r="D128" s="1666" t="s">
        <v>3177</v>
      </c>
      <c r="E128" s="1667" t="s">
        <v>36</v>
      </c>
      <c r="F128" s="1895">
        <f>+'VAL AMP4 MM'!L135</f>
        <v>0</v>
      </c>
    </row>
    <row r="129" spans="3:6" ht="13.2" hidden="1" customHeight="1">
      <c r="C129" s="1654" t="s">
        <v>786</v>
      </c>
      <c r="D129" s="1666" t="s">
        <v>3844</v>
      </c>
      <c r="E129" s="1667" t="s">
        <v>36</v>
      </c>
      <c r="F129" s="1895">
        <f>+'VAL AMP4 MM'!L136</f>
        <v>0</v>
      </c>
    </row>
    <row r="130" spans="3:6" ht="13.2" hidden="1" customHeight="1">
      <c r="C130" s="1654" t="s">
        <v>789</v>
      </c>
      <c r="D130" s="1666" t="s">
        <v>3180</v>
      </c>
      <c r="E130" s="1667" t="s">
        <v>36</v>
      </c>
      <c r="F130" s="1895">
        <f>+'VAL AMP4 MM'!L137</f>
        <v>0</v>
      </c>
    </row>
    <row r="131" spans="3:6" ht="13.2" hidden="1" customHeight="1">
      <c r="C131" s="1654" t="s">
        <v>793</v>
      </c>
      <c r="D131" s="1666" t="s">
        <v>3181</v>
      </c>
      <c r="E131" s="1667" t="s">
        <v>36</v>
      </c>
      <c r="F131" s="1895">
        <f>+'VAL AMP4 MM'!L138</f>
        <v>0</v>
      </c>
    </row>
    <row r="132" spans="3:6" ht="13.2" hidden="1" customHeight="1">
      <c r="C132" s="1654" t="s">
        <v>799</v>
      </c>
      <c r="D132" s="1666" t="s">
        <v>3182</v>
      </c>
      <c r="E132" s="1667" t="s">
        <v>36</v>
      </c>
      <c r="F132" s="1895">
        <f>+'VAL AMP4 MM'!L139</f>
        <v>0</v>
      </c>
    </row>
    <row r="133" spans="3:6" ht="13.2" hidden="1" customHeight="1">
      <c r="C133" s="1654" t="s">
        <v>3845</v>
      </c>
      <c r="D133" s="1666" t="s">
        <v>3185</v>
      </c>
      <c r="E133" s="1667" t="s">
        <v>36</v>
      </c>
      <c r="F133" s="1895">
        <f>+'VAL AMP4 MM'!L140</f>
        <v>0</v>
      </c>
    </row>
    <row r="134" spans="3:6" ht="13.2" hidden="1" customHeight="1">
      <c r="C134" s="1752" t="s">
        <v>3846</v>
      </c>
      <c r="D134" s="1746" t="s">
        <v>3187</v>
      </c>
      <c r="E134" s="1667"/>
      <c r="F134" s="1895"/>
    </row>
    <row r="135" spans="3:6" ht="13.2" hidden="1" customHeight="1">
      <c r="C135" s="1654" t="s">
        <v>3847</v>
      </c>
      <c r="D135" s="1666" t="s">
        <v>3190</v>
      </c>
      <c r="E135" s="1667" t="s">
        <v>36</v>
      </c>
      <c r="F135" s="1895">
        <f>+'VAL AMP4 MM'!L142</f>
        <v>0</v>
      </c>
    </row>
    <row r="136" spans="3:6" ht="13.2" hidden="1" customHeight="1">
      <c r="C136" s="1654" t="s">
        <v>3848</v>
      </c>
      <c r="D136" s="1666" t="s">
        <v>3188</v>
      </c>
      <c r="E136" s="1667" t="s">
        <v>37</v>
      </c>
      <c r="F136" s="1895">
        <f>+'VAL AMP4 MM'!L143</f>
        <v>0</v>
      </c>
    </row>
    <row r="137" spans="3:6" ht="13.2" hidden="1" customHeight="1">
      <c r="C137" s="1752" t="s">
        <v>3849</v>
      </c>
      <c r="D137" s="1746" t="s">
        <v>3206</v>
      </c>
      <c r="E137" s="1667"/>
      <c r="F137" s="1895"/>
    </row>
    <row r="138" spans="3:6" ht="13.2" hidden="1" customHeight="1">
      <c r="C138" s="1654" t="s">
        <v>3850</v>
      </c>
      <c r="D138" s="1666" t="s">
        <v>3207</v>
      </c>
      <c r="E138" s="1667" t="s">
        <v>40</v>
      </c>
      <c r="F138" s="1895">
        <f>+'VAL AMP4 MM'!L145</f>
        <v>0</v>
      </c>
    </row>
    <row r="139" spans="3:6" ht="13.2" hidden="1" customHeight="1">
      <c r="C139" s="1654" t="s">
        <v>3851</v>
      </c>
      <c r="D139" s="1666" t="s">
        <v>3208</v>
      </c>
      <c r="E139" s="1667" t="s">
        <v>37</v>
      </c>
      <c r="F139" s="1895">
        <f>+'VAL AMP4 MM'!L146</f>
        <v>0</v>
      </c>
    </row>
    <row r="140" spans="3:6" ht="13.2" hidden="1" customHeight="1">
      <c r="C140" s="1752" t="s">
        <v>3852</v>
      </c>
      <c r="D140" s="1746" t="s">
        <v>3217</v>
      </c>
      <c r="E140" s="1667"/>
      <c r="F140" s="1895"/>
    </row>
    <row r="141" spans="3:6" ht="13.2" hidden="1" customHeight="1">
      <c r="C141" s="1654" t="s">
        <v>3853</v>
      </c>
      <c r="D141" s="1666" t="s">
        <v>3219</v>
      </c>
      <c r="E141" s="1667" t="s">
        <v>38</v>
      </c>
      <c r="F141" s="1895">
        <f>+'VAL AMP4 MM'!L148</f>
        <v>0</v>
      </c>
    </row>
    <row r="142" spans="3:6" ht="13.2" hidden="1" customHeight="1">
      <c r="C142" s="1752" t="s">
        <v>3854</v>
      </c>
      <c r="D142" s="1746" t="s">
        <v>3070</v>
      </c>
      <c r="E142" s="1667"/>
      <c r="F142" s="1895"/>
    </row>
    <row r="143" spans="3:6" ht="13.2" hidden="1" customHeight="1">
      <c r="C143" s="1654" t="s">
        <v>3855</v>
      </c>
      <c r="D143" s="1666" t="s">
        <v>3856</v>
      </c>
      <c r="E143" s="1667" t="s">
        <v>36</v>
      </c>
      <c r="F143" s="1895">
        <f>+'VAL AMP4 MM'!L150</f>
        <v>0</v>
      </c>
    </row>
    <row r="144" spans="3:6" ht="13.2" customHeight="1">
      <c r="C144" s="2129" t="s">
        <v>45</v>
      </c>
      <c r="D144" s="2131" t="s">
        <v>1327</v>
      </c>
      <c r="E144" s="1667"/>
      <c r="F144" s="1895"/>
    </row>
    <row r="145" spans="3:6" ht="13.2" hidden="1" customHeight="1">
      <c r="C145" s="1752" t="s">
        <v>47</v>
      </c>
      <c r="D145" s="1746" t="s">
        <v>3233</v>
      </c>
      <c r="E145" s="1667"/>
      <c r="F145" s="1895"/>
    </row>
    <row r="146" spans="3:6" ht="13.2" hidden="1" customHeight="1">
      <c r="C146" s="1752" t="s">
        <v>49</v>
      </c>
      <c r="D146" s="1746" t="s">
        <v>3234</v>
      </c>
      <c r="E146" s="1667"/>
      <c r="F146" s="1895"/>
    </row>
    <row r="147" spans="3:6" ht="13.2" hidden="1" customHeight="1">
      <c r="C147" s="1654" t="s">
        <v>801</v>
      </c>
      <c r="D147" s="1666" t="s">
        <v>3857</v>
      </c>
      <c r="E147" s="1667" t="s">
        <v>36</v>
      </c>
      <c r="F147" s="1895">
        <f>+'VAL AMP4 MM'!L154</f>
        <v>0</v>
      </c>
    </row>
    <row r="148" spans="3:6" ht="13.2" hidden="1" customHeight="1">
      <c r="C148" s="1654" t="s">
        <v>802</v>
      </c>
      <c r="D148" s="1666" t="s">
        <v>3236</v>
      </c>
      <c r="E148" s="1667" t="s">
        <v>36</v>
      </c>
      <c r="F148" s="1895">
        <f>+'VAL AMP4 MM'!L155</f>
        <v>0</v>
      </c>
    </row>
    <row r="149" spans="3:6" ht="13.2" hidden="1" customHeight="1">
      <c r="C149" s="1654" t="s">
        <v>3858</v>
      </c>
      <c r="D149" s="1666" t="s">
        <v>3859</v>
      </c>
      <c r="E149" s="1667" t="s">
        <v>36</v>
      </c>
      <c r="F149" s="1895">
        <f>+'VAL AMP4 MM'!L156</f>
        <v>0</v>
      </c>
    </row>
    <row r="150" spans="3:6" ht="13.2" hidden="1" customHeight="1">
      <c r="C150" s="1654" t="s">
        <v>3860</v>
      </c>
      <c r="D150" s="1666" t="s">
        <v>3238</v>
      </c>
      <c r="E150" s="1667" t="s">
        <v>36</v>
      </c>
      <c r="F150" s="1895">
        <f>+'VAL AMP4 MM'!L157</f>
        <v>0</v>
      </c>
    </row>
    <row r="151" spans="3:6" ht="13.2" hidden="1" customHeight="1">
      <c r="C151" s="1654" t="s">
        <v>3861</v>
      </c>
      <c r="D151" s="1666" t="s">
        <v>3862</v>
      </c>
      <c r="E151" s="1667" t="s">
        <v>36</v>
      </c>
      <c r="F151" s="1895">
        <f>+'VAL AMP4 MM'!L158</f>
        <v>0</v>
      </c>
    </row>
    <row r="152" spans="3:6" ht="13.2" hidden="1" customHeight="1">
      <c r="C152" s="1752" t="s">
        <v>50</v>
      </c>
      <c r="D152" s="1746" t="s">
        <v>3242</v>
      </c>
      <c r="E152" s="1667"/>
      <c r="F152" s="1895">
        <f>+'VAL AMP4 MM'!L159</f>
        <v>0</v>
      </c>
    </row>
    <row r="153" spans="3:6" ht="13.2" hidden="1" customHeight="1">
      <c r="C153" s="1654" t="s">
        <v>803</v>
      </c>
      <c r="D153" s="1666" t="s">
        <v>3243</v>
      </c>
      <c r="E153" s="1667" t="s">
        <v>36</v>
      </c>
      <c r="F153" s="1895">
        <f>+'VAL AMP4 MM'!L160</f>
        <v>0</v>
      </c>
    </row>
    <row r="154" spans="3:6" ht="13.2" hidden="1" customHeight="1">
      <c r="C154" s="1654" t="s">
        <v>804</v>
      </c>
      <c r="D154" s="1666" t="s">
        <v>3863</v>
      </c>
      <c r="E154" s="1667" t="s">
        <v>36</v>
      </c>
      <c r="F154" s="1895">
        <f>+'VAL AMP4 MM'!L161</f>
        <v>0</v>
      </c>
    </row>
    <row r="155" spans="3:6" ht="13.2" hidden="1" customHeight="1">
      <c r="C155" s="1654" t="s">
        <v>805</v>
      </c>
      <c r="D155" s="1666" t="s">
        <v>3864</v>
      </c>
      <c r="E155" s="1667" t="s">
        <v>36</v>
      </c>
      <c r="F155" s="1895">
        <f>+'VAL AMP4 MM'!L162</f>
        <v>0</v>
      </c>
    </row>
    <row r="156" spans="3:6" ht="13.2" hidden="1" customHeight="1">
      <c r="C156" s="1654" t="s">
        <v>806</v>
      </c>
      <c r="D156" s="1666" t="s">
        <v>3251</v>
      </c>
      <c r="E156" s="1667" t="s">
        <v>36</v>
      </c>
      <c r="F156" s="1895">
        <f>+'VAL AMP4 MM'!L163</f>
        <v>0</v>
      </c>
    </row>
    <row r="157" spans="3:6" ht="13.2" hidden="1" customHeight="1">
      <c r="C157" s="1654" t="s">
        <v>807</v>
      </c>
      <c r="D157" s="1666" t="s">
        <v>3252</v>
      </c>
      <c r="E157" s="1667" t="s">
        <v>36</v>
      </c>
      <c r="F157" s="1895">
        <f>+'VAL AMP4 MM'!L164</f>
        <v>0</v>
      </c>
    </row>
    <row r="158" spans="3:6" ht="13.2" hidden="1" customHeight="1">
      <c r="C158" s="1654" t="s">
        <v>808</v>
      </c>
      <c r="D158" s="1666" t="s">
        <v>3253</v>
      </c>
      <c r="E158" s="1667" t="s">
        <v>36</v>
      </c>
      <c r="F158" s="1895">
        <f>+'VAL AMP4 MM'!L165</f>
        <v>0</v>
      </c>
    </row>
    <row r="159" spans="3:6" ht="13.2" hidden="1" customHeight="1">
      <c r="C159" s="1654" t="s">
        <v>809</v>
      </c>
      <c r="D159" s="1666" t="s">
        <v>3865</v>
      </c>
      <c r="E159" s="1667" t="s">
        <v>36</v>
      </c>
      <c r="F159" s="1895">
        <f>+'VAL AMP4 MM'!L166</f>
        <v>0</v>
      </c>
    </row>
    <row r="160" spans="3:6" ht="13.2" hidden="1" customHeight="1">
      <c r="C160" s="1654" t="s">
        <v>3866</v>
      </c>
      <c r="D160" s="1666" t="s">
        <v>3255</v>
      </c>
      <c r="E160" s="1667" t="s">
        <v>36</v>
      </c>
      <c r="F160" s="1895">
        <f>+'VAL AMP4 MM'!L167</f>
        <v>0</v>
      </c>
    </row>
    <row r="161" spans="3:6" ht="13.2" hidden="1" customHeight="1">
      <c r="C161" s="1654" t="s">
        <v>3867</v>
      </c>
      <c r="D161" s="1666" t="s">
        <v>3256</v>
      </c>
      <c r="E161" s="1667" t="s">
        <v>36</v>
      </c>
      <c r="F161" s="1895">
        <f>+'VAL AMP4 MM'!L168</f>
        <v>0</v>
      </c>
    </row>
    <row r="162" spans="3:6" ht="13.2" hidden="1" customHeight="1">
      <c r="C162" s="1654" t="s">
        <v>3868</v>
      </c>
      <c r="D162" s="1666" t="s">
        <v>3258</v>
      </c>
      <c r="E162" s="1667" t="s">
        <v>36</v>
      </c>
      <c r="F162" s="1895">
        <f>+'VAL AMP4 MM'!L169</f>
        <v>0</v>
      </c>
    </row>
    <row r="163" spans="3:6" ht="13.2" hidden="1" customHeight="1">
      <c r="C163" s="1654" t="s">
        <v>3869</v>
      </c>
      <c r="D163" s="1666" t="s">
        <v>3259</v>
      </c>
      <c r="E163" s="1667" t="s">
        <v>36</v>
      </c>
      <c r="F163" s="1895">
        <f>+'VAL AMP4 MM'!L170</f>
        <v>0</v>
      </c>
    </row>
    <row r="164" spans="3:6" ht="13.2" hidden="1" customHeight="1">
      <c r="C164" s="1654" t="s">
        <v>3870</v>
      </c>
      <c r="D164" s="1666" t="s">
        <v>3260</v>
      </c>
      <c r="E164" s="1667" t="s">
        <v>36</v>
      </c>
      <c r="F164" s="1895">
        <f>+'VAL AMP4 MM'!L171</f>
        <v>0</v>
      </c>
    </row>
    <row r="165" spans="3:6" ht="13.2" hidden="1" customHeight="1">
      <c r="C165" s="1752" t="s">
        <v>51</v>
      </c>
      <c r="D165" s="1746" t="s">
        <v>3264</v>
      </c>
      <c r="E165" s="1667"/>
      <c r="F165" s="1895"/>
    </row>
    <row r="166" spans="3:6" ht="13.2" hidden="1" customHeight="1">
      <c r="C166" s="1654" t="s">
        <v>810</v>
      </c>
      <c r="D166" s="1666" t="s">
        <v>3265</v>
      </c>
      <c r="E166" s="1667" t="s">
        <v>36</v>
      </c>
      <c r="F166" s="1895">
        <f>+'VAL AMP4 MM'!L173</f>
        <v>0</v>
      </c>
    </row>
    <row r="167" spans="3:6" ht="13.2" hidden="1" customHeight="1">
      <c r="C167" s="1752" t="s">
        <v>277</v>
      </c>
      <c r="D167" s="1746" t="s">
        <v>3266</v>
      </c>
      <c r="E167" s="1667"/>
      <c r="F167" s="1895">
        <f>+'VAL AMP4 MM'!L174</f>
        <v>0</v>
      </c>
    </row>
    <row r="168" spans="3:6" ht="13.2" hidden="1" customHeight="1">
      <c r="C168" s="1654" t="s">
        <v>811</v>
      </c>
      <c r="D168" s="1666" t="s">
        <v>3267</v>
      </c>
      <c r="E168" s="1667" t="s">
        <v>36</v>
      </c>
      <c r="F168" s="1895">
        <f>+'VAL AMP4 MM'!L175</f>
        <v>0</v>
      </c>
    </row>
    <row r="169" spans="3:6" ht="13.2" customHeight="1">
      <c r="C169" s="2259" t="s">
        <v>475</v>
      </c>
      <c r="D169" s="2260" t="s">
        <v>3268</v>
      </c>
      <c r="E169" s="1667"/>
      <c r="F169" s="1895"/>
    </row>
    <row r="170" spans="3:6" ht="13.2" hidden="1" customHeight="1">
      <c r="C170" s="1752" t="s">
        <v>476</v>
      </c>
      <c r="D170" s="1746" t="s">
        <v>3269</v>
      </c>
      <c r="E170" s="1667"/>
      <c r="F170" s="1895"/>
    </row>
    <row r="171" spans="3:6" ht="13.2" hidden="1" customHeight="1">
      <c r="C171" s="1654" t="s">
        <v>842</v>
      </c>
      <c r="D171" s="1666" t="s">
        <v>3871</v>
      </c>
      <c r="E171" s="1667" t="s">
        <v>1452</v>
      </c>
      <c r="F171" s="1895">
        <f>+'VAL AMP4 MM'!L178</f>
        <v>0</v>
      </c>
    </row>
    <row r="172" spans="3:6" ht="13.2" hidden="1" customHeight="1">
      <c r="C172" s="1654" t="s">
        <v>843</v>
      </c>
      <c r="D172" s="1666" t="s">
        <v>3872</v>
      </c>
      <c r="E172" s="1667" t="s">
        <v>1452</v>
      </c>
      <c r="F172" s="1895">
        <f>+'VAL AMP4 MM'!L179</f>
        <v>0</v>
      </c>
    </row>
    <row r="173" spans="3:6" ht="13.2" hidden="1" customHeight="1">
      <c r="C173" s="1752" t="s">
        <v>477</v>
      </c>
      <c r="D173" s="1746" t="s">
        <v>3873</v>
      </c>
      <c r="E173" s="1667"/>
      <c r="F173" s="1895"/>
    </row>
    <row r="174" spans="3:6" ht="13.2" hidden="1" customHeight="1">
      <c r="C174" s="1654" t="s">
        <v>844</v>
      </c>
      <c r="D174" s="1666" t="s">
        <v>3273</v>
      </c>
      <c r="E174" s="1667" t="s">
        <v>38</v>
      </c>
      <c r="F174" s="1895">
        <f>+'VAL AMP4 MM'!L181</f>
        <v>0</v>
      </c>
    </row>
    <row r="175" spans="3:6" ht="13.2" hidden="1" customHeight="1">
      <c r="C175" s="1654" t="s">
        <v>845</v>
      </c>
      <c r="D175" s="1666" t="s">
        <v>3274</v>
      </c>
      <c r="E175" s="1667" t="s">
        <v>38</v>
      </c>
      <c r="F175" s="1895">
        <f>+'VAL AMP4 MM'!L182</f>
        <v>0</v>
      </c>
    </row>
    <row r="176" spans="3:6" ht="13.2" hidden="1" customHeight="1">
      <c r="C176" s="1654" t="s">
        <v>846</v>
      </c>
      <c r="D176" s="1666" t="s">
        <v>3275</v>
      </c>
      <c r="E176" s="1667" t="s">
        <v>38</v>
      </c>
      <c r="F176" s="1895">
        <f>+'VAL AMP4 MM'!L183</f>
        <v>0</v>
      </c>
    </row>
    <row r="177" spans="3:6" ht="13.2" hidden="1" customHeight="1">
      <c r="C177" s="1654" t="s">
        <v>847</v>
      </c>
      <c r="D177" s="1666" t="s">
        <v>3276</v>
      </c>
      <c r="E177" s="1667" t="s">
        <v>38</v>
      </c>
      <c r="F177" s="1895">
        <f>+'VAL AMP4 MM'!L184</f>
        <v>0</v>
      </c>
    </row>
    <row r="178" spans="3:6" ht="13.2" customHeight="1">
      <c r="C178" s="1752" t="s">
        <v>478</v>
      </c>
      <c r="D178" s="1746" t="s">
        <v>3874</v>
      </c>
      <c r="E178" s="1667"/>
      <c r="F178" s="1895"/>
    </row>
    <row r="179" spans="3:6" ht="13.2" hidden="1" customHeight="1">
      <c r="C179" s="1654" t="s">
        <v>851</v>
      </c>
      <c r="D179" s="1666" t="s">
        <v>3281</v>
      </c>
      <c r="E179" s="1667" t="s">
        <v>36</v>
      </c>
      <c r="F179" s="1895">
        <f>+'VAL AMP4 MM'!L186</f>
        <v>0</v>
      </c>
    </row>
    <row r="180" spans="3:6" ht="13.2" hidden="1" customHeight="1">
      <c r="C180" s="1654" t="s">
        <v>3875</v>
      </c>
      <c r="D180" s="1666" t="s">
        <v>3282</v>
      </c>
      <c r="E180" s="1667" t="s">
        <v>36</v>
      </c>
      <c r="F180" s="1895">
        <f>+'VAL AMP4 MM'!L187</f>
        <v>0</v>
      </c>
    </row>
    <row r="181" spans="3:6" ht="13.2" hidden="1" customHeight="1">
      <c r="C181" s="1654" t="s">
        <v>3876</v>
      </c>
      <c r="D181" s="1666" t="s">
        <v>3283</v>
      </c>
      <c r="E181" s="1667" t="s">
        <v>36</v>
      </c>
      <c r="F181" s="1895">
        <f>+'VAL AMP4 MM'!L188</f>
        <v>0</v>
      </c>
    </row>
    <row r="182" spans="3:6" ht="13.2" customHeight="1">
      <c r="C182" s="1654" t="s">
        <v>3877</v>
      </c>
      <c r="D182" s="1666" t="s">
        <v>3287</v>
      </c>
      <c r="E182" s="1667" t="s">
        <v>36</v>
      </c>
      <c r="F182" s="1895">
        <f>+'VAL AMP4 MM'!L189</f>
        <v>2</v>
      </c>
    </row>
    <row r="183" spans="3:6" ht="13.2" customHeight="1">
      <c r="C183" s="1654" t="s">
        <v>3878</v>
      </c>
      <c r="D183" s="1666" t="s">
        <v>3288</v>
      </c>
      <c r="E183" s="1667" t="s">
        <v>36</v>
      </c>
      <c r="F183" s="1895">
        <f>+'VAL AMP4 MM'!L190</f>
        <v>1</v>
      </c>
    </row>
    <row r="184" spans="3:6" ht="13.2" hidden="1" customHeight="1">
      <c r="C184" s="1654" t="s">
        <v>3879</v>
      </c>
      <c r="D184" s="1666" t="s">
        <v>3289</v>
      </c>
      <c r="E184" s="1667" t="s">
        <v>36</v>
      </c>
      <c r="F184" s="1895">
        <f>+'VAL AMP4 MM'!L191</f>
        <v>0</v>
      </c>
    </row>
    <row r="185" spans="3:6" ht="13.2" customHeight="1">
      <c r="C185" s="1654" t="s">
        <v>3880</v>
      </c>
      <c r="D185" s="1666" t="s">
        <v>3292</v>
      </c>
      <c r="E185" s="1667" t="s">
        <v>36</v>
      </c>
      <c r="F185" s="1895">
        <f>+'VAL AMP4 MM'!L192</f>
        <v>3</v>
      </c>
    </row>
    <row r="186" spans="3:6" ht="13.2" hidden="1" customHeight="1">
      <c r="C186" s="1654" t="s">
        <v>3881</v>
      </c>
      <c r="D186" s="1666" t="s">
        <v>3293</v>
      </c>
      <c r="E186" s="1667" t="s">
        <v>36</v>
      </c>
      <c r="F186" s="1895">
        <f>+'VAL AMP4 MM'!L193</f>
        <v>0</v>
      </c>
    </row>
    <row r="187" spans="3:6" ht="13.2" hidden="1" customHeight="1">
      <c r="C187" s="1654" t="s">
        <v>3882</v>
      </c>
      <c r="D187" s="1666" t="s">
        <v>3294</v>
      </c>
      <c r="E187" s="1667" t="s">
        <v>36</v>
      </c>
      <c r="F187" s="1895">
        <f>+'VAL AMP4 MM'!L194</f>
        <v>0</v>
      </c>
    </row>
    <row r="188" spans="3:6" ht="13.2" hidden="1" customHeight="1">
      <c r="C188" s="1654" t="s">
        <v>3883</v>
      </c>
      <c r="D188" s="1666" t="s">
        <v>3297</v>
      </c>
      <c r="E188" s="1667" t="s">
        <v>36</v>
      </c>
      <c r="F188" s="1895">
        <f>+'VAL AMP4 MM'!L195</f>
        <v>0</v>
      </c>
    </row>
    <row r="189" spans="3:6" ht="13.2" hidden="1" customHeight="1">
      <c r="C189" s="1654" t="s">
        <v>3884</v>
      </c>
      <c r="D189" s="1666" t="s">
        <v>3298</v>
      </c>
      <c r="E189" s="1667" t="s">
        <v>36</v>
      </c>
      <c r="F189" s="1895">
        <f>+'VAL AMP4 MM'!L196</f>
        <v>0</v>
      </c>
    </row>
    <row r="190" spans="3:6" ht="13.2" hidden="1" customHeight="1">
      <c r="C190" s="1752" t="s">
        <v>479</v>
      </c>
      <c r="D190" s="1746" t="s">
        <v>3302</v>
      </c>
      <c r="E190" s="1667"/>
      <c r="F190" s="1895"/>
    </row>
    <row r="191" spans="3:6" ht="13.2" hidden="1" customHeight="1">
      <c r="C191" s="1654" t="s">
        <v>852</v>
      </c>
      <c r="D191" s="1666" t="s">
        <v>3303</v>
      </c>
      <c r="E191" s="1667" t="s">
        <v>1451</v>
      </c>
      <c r="F191" s="1895">
        <f>+'VAL AMP4 MM'!L198</f>
        <v>0</v>
      </c>
    </row>
    <row r="192" spans="3:6" ht="13.2" hidden="1" customHeight="1">
      <c r="C192" s="1654" t="s">
        <v>853</v>
      </c>
      <c r="D192" s="1666" t="s">
        <v>3304</v>
      </c>
      <c r="E192" s="1667" t="s">
        <v>1451</v>
      </c>
      <c r="F192" s="1895">
        <f>+'VAL AMP4 MM'!L199</f>
        <v>0</v>
      </c>
    </row>
    <row r="193" spans="3:6" ht="13.2" hidden="1" customHeight="1">
      <c r="C193" s="1654" t="s">
        <v>854</v>
      </c>
      <c r="D193" s="1666" t="s">
        <v>3305</v>
      </c>
      <c r="E193" s="1667" t="s">
        <v>1451</v>
      </c>
      <c r="F193" s="1895">
        <f>+'VAL AMP4 MM'!L200</f>
        <v>0</v>
      </c>
    </row>
    <row r="194" spans="3:6" ht="13.2" customHeight="1">
      <c r="C194" s="2129" t="s">
        <v>488</v>
      </c>
      <c r="D194" s="2131" t="s">
        <v>1383</v>
      </c>
      <c r="E194" s="1667"/>
      <c r="F194" s="1895"/>
    </row>
    <row r="195" spans="3:6" ht="13.2" hidden="1" customHeight="1">
      <c r="C195" s="1752" t="s">
        <v>489</v>
      </c>
      <c r="D195" s="1746" t="s">
        <v>2899</v>
      </c>
      <c r="E195" s="1667"/>
      <c r="F195" s="1895"/>
    </row>
    <row r="196" spans="3:6" ht="13.2" hidden="1" customHeight="1">
      <c r="C196" s="1654" t="s">
        <v>490</v>
      </c>
      <c r="D196" s="1666" t="s">
        <v>3885</v>
      </c>
      <c r="E196" s="1667" t="s">
        <v>40</v>
      </c>
      <c r="F196" s="1895">
        <f>+'VAL AMP4 MM'!L203</f>
        <v>0</v>
      </c>
    </row>
    <row r="197" spans="3:6" ht="13.2" hidden="1" customHeight="1">
      <c r="C197" s="1654" t="s">
        <v>491</v>
      </c>
      <c r="D197" s="1666" t="s">
        <v>3886</v>
      </c>
      <c r="E197" s="1667" t="s">
        <v>40</v>
      </c>
      <c r="F197" s="1895">
        <f>+'VAL AMP4 MM'!L204</f>
        <v>0</v>
      </c>
    </row>
    <row r="198" spans="3:6" ht="13.2" hidden="1" customHeight="1">
      <c r="C198" s="1654" t="s">
        <v>492</v>
      </c>
      <c r="D198" s="1666" t="s">
        <v>3887</v>
      </c>
      <c r="E198" s="1667" t="s">
        <v>40</v>
      </c>
      <c r="F198" s="1895">
        <f>+'VAL AMP4 MM'!L205</f>
        <v>0</v>
      </c>
    </row>
    <row r="199" spans="3:6" ht="13.2" hidden="1" customHeight="1">
      <c r="C199" s="1654" t="s">
        <v>1017</v>
      </c>
      <c r="D199" s="1666" t="s">
        <v>3888</v>
      </c>
      <c r="E199" s="1667" t="s">
        <v>40</v>
      </c>
      <c r="F199" s="1895">
        <f>+'VAL AMP4 MM'!L206</f>
        <v>0</v>
      </c>
    </row>
    <row r="200" spans="3:6" ht="13.2" hidden="1" customHeight="1">
      <c r="C200" s="1654" t="s">
        <v>493</v>
      </c>
      <c r="D200" s="1666" t="s">
        <v>2906</v>
      </c>
      <c r="E200" s="1667"/>
      <c r="F200" s="1895"/>
    </row>
    <row r="201" spans="3:6" ht="13.2" hidden="1" customHeight="1">
      <c r="C201" s="1654" t="s">
        <v>494</v>
      </c>
      <c r="D201" s="1666" t="s">
        <v>3397</v>
      </c>
      <c r="E201" s="1667" t="s">
        <v>36</v>
      </c>
      <c r="F201" s="1895">
        <f>+'VAL AMP4 MM'!L208</f>
        <v>0</v>
      </c>
    </row>
    <row r="202" spans="3:6" ht="13.2" hidden="1" customHeight="1">
      <c r="C202" s="1654" t="s">
        <v>495</v>
      </c>
      <c r="D202" s="1666" t="s">
        <v>3889</v>
      </c>
      <c r="E202" s="1667" t="s">
        <v>36</v>
      </c>
      <c r="F202" s="1895">
        <f>+'VAL AMP4 MM'!L209</f>
        <v>0</v>
      </c>
    </row>
    <row r="203" spans="3:6" ht="13.2" customHeight="1">
      <c r="C203" s="1752" t="s">
        <v>497</v>
      </c>
      <c r="D203" s="1746" t="s">
        <v>3890</v>
      </c>
      <c r="E203" s="1667"/>
      <c r="F203" s="1895"/>
    </row>
    <row r="204" spans="3:6" ht="13.2" customHeight="1">
      <c r="C204" s="1654" t="s">
        <v>498</v>
      </c>
      <c r="D204" s="1666" t="s">
        <v>3891</v>
      </c>
      <c r="E204" s="1667"/>
      <c r="F204" s="1895"/>
    </row>
    <row r="205" spans="3:6" ht="13.2" customHeight="1">
      <c r="C205" s="1654" t="s">
        <v>2586</v>
      </c>
      <c r="D205" s="1666" t="s">
        <v>3892</v>
      </c>
      <c r="E205" s="1667" t="s">
        <v>2829</v>
      </c>
      <c r="F205" s="1895">
        <f>+'VAL AMP4 MM'!L212</f>
        <v>4</v>
      </c>
    </row>
    <row r="206" spans="3:6" ht="13.2" hidden="1" customHeight="1">
      <c r="C206" s="1654" t="s">
        <v>499</v>
      </c>
      <c r="D206" s="1666" t="s">
        <v>3430</v>
      </c>
      <c r="E206" s="1667"/>
      <c r="F206" s="1895">
        <f>+'VAL AMP4 MM'!L213</f>
        <v>0</v>
      </c>
    </row>
    <row r="207" spans="3:6" ht="13.2" hidden="1" customHeight="1">
      <c r="C207" s="1654" t="s">
        <v>2594</v>
      </c>
      <c r="D207" s="1666" t="s">
        <v>3441</v>
      </c>
      <c r="E207" s="1667" t="s">
        <v>2829</v>
      </c>
      <c r="F207" s="1895">
        <f>+'VAL AMP4 MM'!L214</f>
        <v>0</v>
      </c>
    </row>
    <row r="208" spans="3:6" ht="13.2" hidden="1" customHeight="1">
      <c r="C208" s="1654" t="s">
        <v>2595</v>
      </c>
      <c r="D208" s="1666" t="s">
        <v>3446</v>
      </c>
      <c r="E208" s="1667" t="s">
        <v>2829</v>
      </c>
      <c r="F208" s="1895">
        <f>+'VAL AMP4 MM'!L215</f>
        <v>0</v>
      </c>
    </row>
    <row r="209" spans="3:6" ht="13.2" hidden="1" customHeight="1">
      <c r="C209" s="1752" t="s">
        <v>1032</v>
      </c>
      <c r="D209" s="1746" t="s">
        <v>3893</v>
      </c>
      <c r="E209" s="1667"/>
      <c r="F209" s="1895"/>
    </row>
    <row r="210" spans="3:6" ht="13.2" hidden="1" customHeight="1">
      <c r="C210" s="1654" t="s">
        <v>2609</v>
      </c>
      <c r="D210" s="1666" t="s">
        <v>3450</v>
      </c>
      <c r="E210" s="1667" t="s">
        <v>38</v>
      </c>
      <c r="F210" s="1895">
        <f>+'VAL AMP4 MM'!L217</f>
        <v>0</v>
      </c>
    </row>
    <row r="211" spans="3:6" ht="13.2" hidden="1" customHeight="1">
      <c r="C211" s="1654" t="s">
        <v>2610</v>
      </c>
      <c r="D211" s="1666" t="s">
        <v>3894</v>
      </c>
      <c r="E211" s="1667" t="s">
        <v>36</v>
      </c>
      <c r="F211" s="1895">
        <f>+'VAL AMP4 MM'!L218</f>
        <v>0</v>
      </c>
    </row>
    <row r="212" spans="3:6" ht="13.2" hidden="1" customHeight="1">
      <c r="C212" s="1654" t="s">
        <v>2611</v>
      </c>
      <c r="D212" s="1666" t="s">
        <v>3895</v>
      </c>
      <c r="E212" s="1667" t="s">
        <v>36</v>
      </c>
      <c r="F212" s="1895">
        <f>+'VAL AMP4 MM'!L219</f>
        <v>0</v>
      </c>
    </row>
    <row r="213" spans="3:6" ht="13.2" hidden="1" customHeight="1">
      <c r="C213" s="1752" t="s">
        <v>1033</v>
      </c>
      <c r="D213" s="1746" t="s">
        <v>3896</v>
      </c>
      <c r="E213" s="1667"/>
      <c r="F213" s="1895"/>
    </row>
    <row r="214" spans="3:6" ht="13.2" hidden="1" customHeight="1">
      <c r="C214" s="1654" t="s">
        <v>3897</v>
      </c>
      <c r="D214" s="1666" t="s">
        <v>3898</v>
      </c>
      <c r="E214" s="1667" t="s">
        <v>3899</v>
      </c>
      <c r="F214" s="1895">
        <f>+'VAL AMP4 MM'!L221</f>
        <v>0</v>
      </c>
    </row>
    <row r="215" spans="3:6" ht="13.2" hidden="1" customHeight="1">
      <c r="C215" s="1654" t="s">
        <v>3900</v>
      </c>
      <c r="D215" s="1666" t="s">
        <v>3901</v>
      </c>
      <c r="E215" s="1667" t="s">
        <v>3899</v>
      </c>
      <c r="F215" s="1895">
        <f>+'VAL AMP4 MM'!L222</f>
        <v>0</v>
      </c>
    </row>
    <row r="216" spans="3:6" ht="13.2" hidden="1" customHeight="1">
      <c r="C216" s="1752" t="s">
        <v>500</v>
      </c>
      <c r="D216" s="1746" t="s">
        <v>3902</v>
      </c>
      <c r="E216" s="1667"/>
      <c r="F216" s="1895"/>
    </row>
    <row r="217" spans="3:6" ht="13.2" hidden="1" customHeight="1">
      <c r="C217" s="1752" t="s">
        <v>501</v>
      </c>
      <c r="D217" s="1746" t="s">
        <v>3903</v>
      </c>
      <c r="E217" s="1667"/>
      <c r="F217" s="1895"/>
    </row>
    <row r="218" spans="3:6" ht="13.2" hidden="1" customHeight="1">
      <c r="C218" s="1654" t="s">
        <v>2616</v>
      </c>
      <c r="D218" s="1666" t="s">
        <v>3904</v>
      </c>
      <c r="E218" s="1667" t="s">
        <v>36</v>
      </c>
      <c r="F218" s="1895">
        <f>+'VAL AMP4 MM'!L225</f>
        <v>0</v>
      </c>
    </row>
    <row r="219" spans="3:6" ht="13.2" hidden="1" customHeight="1">
      <c r="C219" s="1654" t="s">
        <v>2617</v>
      </c>
      <c r="D219" s="1666" t="s">
        <v>3905</v>
      </c>
      <c r="E219" s="1667" t="s">
        <v>36</v>
      </c>
      <c r="F219" s="1895">
        <f>+'VAL AMP4 MM'!L226</f>
        <v>0</v>
      </c>
    </row>
    <row r="220" spans="3:6" ht="13.2" customHeight="1">
      <c r="C220" s="1752" t="s">
        <v>502</v>
      </c>
      <c r="D220" s="1746" t="s">
        <v>3896</v>
      </c>
      <c r="E220" s="1667"/>
      <c r="F220" s="1895"/>
    </row>
    <row r="221" spans="3:6" ht="13.2" customHeight="1">
      <c r="C221" s="1654" t="s">
        <v>2620</v>
      </c>
      <c r="D221" s="1666" t="s">
        <v>3462</v>
      </c>
      <c r="E221" s="1667" t="s">
        <v>3899</v>
      </c>
      <c r="F221" s="1895">
        <f>+'VAL AMP4 MM'!L228</f>
        <v>536.38</v>
      </c>
    </row>
    <row r="222" spans="3:6" ht="13.2" customHeight="1">
      <c r="C222" s="1654" t="s">
        <v>2621</v>
      </c>
      <c r="D222" s="1666" t="s">
        <v>3463</v>
      </c>
      <c r="E222" s="1667" t="s">
        <v>3899</v>
      </c>
      <c r="F222" s="1895">
        <f>+'VAL AMP4 MM'!L229</f>
        <v>268.33999999999997</v>
      </c>
    </row>
    <row r="223" spans="3:6" ht="13.2" hidden="1" customHeight="1">
      <c r="C223" s="1752" t="s">
        <v>503</v>
      </c>
      <c r="D223" s="1746" t="s">
        <v>3906</v>
      </c>
      <c r="E223" s="1667"/>
      <c r="F223" s="1895"/>
    </row>
    <row r="224" spans="3:6" ht="13.2" hidden="1" customHeight="1">
      <c r="C224" s="1654" t="s">
        <v>2626</v>
      </c>
      <c r="D224" s="1666" t="s">
        <v>3465</v>
      </c>
      <c r="E224" s="1667" t="s">
        <v>1452</v>
      </c>
      <c r="F224" s="1895">
        <f>+'VAL AMP4 MM'!L231</f>
        <v>0</v>
      </c>
    </row>
    <row r="225" spans="3:6" ht="13.2" hidden="1" customHeight="1">
      <c r="C225" s="1654" t="s">
        <v>2627</v>
      </c>
      <c r="D225" s="1666" t="s">
        <v>3907</v>
      </c>
      <c r="E225" s="1667" t="s">
        <v>36</v>
      </c>
      <c r="F225" s="1895">
        <f>+'VAL AMP4 MM'!L232</f>
        <v>0</v>
      </c>
    </row>
    <row r="226" spans="3:6" ht="13.2" hidden="1" customHeight="1">
      <c r="C226" s="1752" t="s">
        <v>505</v>
      </c>
      <c r="D226" s="1746" t="s">
        <v>3908</v>
      </c>
      <c r="E226" s="1667"/>
      <c r="F226" s="1895"/>
    </row>
    <row r="227" spans="3:6" ht="13.2" hidden="1" customHeight="1">
      <c r="C227" s="1752" t="s">
        <v>506</v>
      </c>
      <c r="D227" s="1746" t="s">
        <v>3909</v>
      </c>
      <c r="E227" s="1667"/>
      <c r="F227" s="1895"/>
    </row>
    <row r="228" spans="3:6" ht="13.2" hidden="1" customHeight="1">
      <c r="C228" s="1654" t="s">
        <v>3910</v>
      </c>
      <c r="D228" s="1666" t="s">
        <v>3911</v>
      </c>
      <c r="E228" s="1667" t="s">
        <v>36</v>
      </c>
      <c r="F228" s="1895">
        <f>+'VAL AMP4 MM'!L235</f>
        <v>0</v>
      </c>
    </row>
    <row r="229" spans="3:6" ht="13.2" hidden="1" customHeight="1">
      <c r="C229" s="1654" t="s">
        <v>3912</v>
      </c>
      <c r="D229" s="1666" t="s">
        <v>3913</v>
      </c>
      <c r="E229" s="1667" t="s">
        <v>36</v>
      </c>
      <c r="F229" s="1895">
        <f>+'VAL AMP4 MM'!L236</f>
        <v>0</v>
      </c>
    </row>
    <row r="230" spans="3:6" ht="13.2" hidden="1" customHeight="1">
      <c r="C230" s="1654" t="s">
        <v>3914</v>
      </c>
      <c r="D230" s="1666" t="s">
        <v>3915</v>
      </c>
      <c r="E230" s="1667" t="s">
        <v>36</v>
      </c>
      <c r="F230" s="1895">
        <f>+'VAL AMP4 MM'!L237</f>
        <v>0</v>
      </c>
    </row>
    <row r="231" spans="3:6" ht="13.2" hidden="1" customHeight="1">
      <c r="C231" s="1654" t="s">
        <v>507</v>
      </c>
      <c r="D231" s="1666" t="s">
        <v>3916</v>
      </c>
      <c r="E231" s="1667"/>
      <c r="F231" s="1895">
        <f>+'VAL AMP4 MM'!L238</f>
        <v>0</v>
      </c>
    </row>
    <row r="232" spans="3:6" ht="13.2" hidden="1" customHeight="1">
      <c r="C232" s="1654" t="s">
        <v>3917</v>
      </c>
      <c r="D232" s="1666" t="s">
        <v>3918</v>
      </c>
      <c r="E232" s="1667" t="s">
        <v>36</v>
      </c>
      <c r="F232" s="1895">
        <f>+'VAL AMP4 MM'!L239</f>
        <v>0</v>
      </c>
    </row>
    <row r="233" spans="3:6" ht="13.2" hidden="1" customHeight="1">
      <c r="C233" s="1654" t="s">
        <v>3919</v>
      </c>
      <c r="D233" s="1666" t="s">
        <v>3920</v>
      </c>
      <c r="E233" s="1667" t="s">
        <v>36</v>
      </c>
      <c r="F233" s="1895">
        <f>+'VAL AMP4 MM'!L240</f>
        <v>0</v>
      </c>
    </row>
    <row r="234" spans="3:6" ht="13.2" customHeight="1">
      <c r="C234" s="1752" t="s">
        <v>508</v>
      </c>
      <c r="D234" s="1746" t="s">
        <v>3921</v>
      </c>
      <c r="E234" s="1667"/>
      <c r="F234" s="1895"/>
    </row>
    <row r="235" spans="3:6" ht="13.2" customHeight="1">
      <c r="C235" s="1654" t="s">
        <v>3922</v>
      </c>
      <c r="D235" s="1666" t="s">
        <v>3483</v>
      </c>
      <c r="E235" s="1667" t="s">
        <v>1452</v>
      </c>
      <c r="F235" s="1895">
        <f>+'VAL AMP4 MM'!L242</f>
        <v>5</v>
      </c>
    </row>
    <row r="236" spans="3:6" ht="13.2" customHeight="1">
      <c r="C236" s="1654" t="s">
        <v>3923</v>
      </c>
      <c r="D236" s="1666" t="s">
        <v>3484</v>
      </c>
      <c r="E236" s="1667" t="s">
        <v>1452</v>
      </c>
      <c r="F236" s="1895">
        <f>+'VAL AMP4 MM'!L243</f>
        <v>5</v>
      </c>
    </row>
    <row r="237" spans="3:6" ht="13.2" customHeight="1">
      <c r="C237" s="1654" t="s">
        <v>3924</v>
      </c>
      <c r="D237" s="1666" t="s">
        <v>3485</v>
      </c>
      <c r="E237" s="1667" t="s">
        <v>1452</v>
      </c>
      <c r="F237" s="1895">
        <f>+'VAL AMP4 MM'!L244</f>
        <v>1</v>
      </c>
    </row>
    <row r="238" spans="3:6" ht="13.2" customHeight="1">
      <c r="C238" s="1752" t="s">
        <v>1038</v>
      </c>
      <c r="D238" s="1746" t="s">
        <v>3925</v>
      </c>
      <c r="E238" s="1667"/>
      <c r="F238" s="1895"/>
    </row>
    <row r="239" spans="3:6" ht="13.2" hidden="1" customHeight="1">
      <c r="C239" s="1752" t="s">
        <v>509</v>
      </c>
      <c r="D239" s="1746" t="s">
        <v>3903</v>
      </c>
      <c r="E239" s="1667"/>
      <c r="F239" s="1895"/>
    </row>
    <row r="240" spans="3:6" ht="13.2" hidden="1" customHeight="1">
      <c r="C240" s="1654" t="s">
        <v>3926</v>
      </c>
      <c r="D240" s="1666" t="s">
        <v>3904</v>
      </c>
      <c r="E240" s="1667" t="s">
        <v>36</v>
      </c>
      <c r="F240" s="1895">
        <f>+'VAL AMP4 MM'!L247</f>
        <v>0</v>
      </c>
    </row>
    <row r="241" spans="3:6" ht="13.2" hidden="1" customHeight="1">
      <c r="C241" s="1654" t="s">
        <v>3927</v>
      </c>
      <c r="D241" s="1666" t="s">
        <v>3905</v>
      </c>
      <c r="E241" s="1667" t="s">
        <v>36</v>
      </c>
      <c r="F241" s="1895">
        <f>+'VAL AMP4 MM'!L248</f>
        <v>0</v>
      </c>
    </row>
    <row r="242" spans="3:6" ht="13.2" customHeight="1">
      <c r="C242" s="1752" t="s">
        <v>510</v>
      </c>
      <c r="D242" s="1746" t="s">
        <v>3896</v>
      </c>
      <c r="E242" s="1667"/>
      <c r="F242" s="1895"/>
    </row>
    <row r="243" spans="3:6" ht="13.2" hidden="1" customHeight="1">
      <c r="C243" s="1654" t="s">
        <v>3928</v>
      </c>
      <c r="D243" s="1666" t="s">
        <v>3462</v>
      </c>
      <c r="E243" s="1667" t="s">
        <v>3899</v>
      </c>
      <c r="F243" s="1895">
        <f>+'VAL AMP4 MM'!L250</f>
        <v>0</v>
      </c>
    </row>
    <row r="244" spans="3:6" ht="13.2" customHeight="1">
      <c r="C244" s="1654" t="s">
        <v>3929</v>
      </c>
      <c r="D244" s="1666" t="s">
        <v>3463</v>
      </c>
      <c r="E244" s="1667" t="s">
        <v>3899</v>
      </c>
      <c r="F244" s="1895">
        <f>+'VAL AMP4 MM'!L251</f>
        <v>161</v>
      </c>
    </row>
    <row r="245" spans="3:6" ht="13.2" hidden="1" customHeight="1">
      <c r="C245" s="1752" t="s">
        <v>3930</v>
      </c>
      <c r="D245" s="1746" t="s">
        <v>3931</v>
      </c>
      <c r="E245" s="1667"/>
      <c r="F245" s="1895"/>
    </row>
    <row r="246" spans="3:6" ht="13.2" hidden="1" customHeight="1">
      <c r="C246" s="1654" t="s">
        <v>3932</v>
      </c>
      <c r="D246" s="1666" t="s">
        <v>3907</v>
      </c>
      <c r="E246" s="1667" t="s">
        <v>36</v>
      </c>
      <c r="F246" s="1895">
        <f>+'VAL AMP4 MM'!L253</f>
        <v>0</v>
      </c>
    </row>
    <row r="247" spans="3:6" ht="13.2" hidden="1" customHeight="1">
      <c r="C247" s="1752" t="s">
        <v>3933</v>
      </c>
      <c r="D247" s="1746" t="s">
        <v>3934</v>
      </c>
      <c r="E247" s="1667"/>
      <c r="F247" s="1895"/>
    </row>
    <row r="248" spans="3:6" ht="13.2" hidden="1" customHeight="1">
      <c r="C248" s="1654" t="s">
        <v>3935</v>
      </c>
      <c r="D248" s="1666" t="s">
        <v>3936</v>
      </c>
      <c r="E248" s="1667" t="s">
        <v>36</v>
      </c>
      <c r="F248" s="1895">
        <f>+'VAL AMP4 MM'!L255</f>
        <v>0</v>
      </c>
    </row>
    <row r="249" spans="3:6" ht="13.2" customHeight="1">
      <c r="C249" s="1752" t="s">
        <v>3937</v>
      </c>
      <c r="D249" s="1746" t="s">
        <v>3938</v>
      </c>
      <c r="E249" s="1667"/>
      <c r="F249" s="1895"/>
    </row>
    <row r="250" spans="3:6" ht="13.2" customHeight="1" thickBot="1">
      <c r="C250" s="1680" t="s">
        <v>3939</v>
      </c>
      <c r="D250" s="1681" t="s">
        <v>3940</v>
      </c>
      <c r="E250" s="1682" t="s">
        <v>36</v>
      </c>
      <c r="F250" s="1895">
        <f>+'VAL AMP4 MM'!L257</f>
        <v>20</v>
      </c>
    </row>
    <row r="251" spans="3:6" ht="13.2" customHeight="1">
      <c r="C251" s="1215"/>
      <c r="D251" s="1225"/>
      <c r="E251" s="1218"/>
    </row>
    <row r="252" spans="3:6" ht="13.2" customHeight="1">
      <c r="C252" s="1215"/>
      <c r="D252" s="1225"/>
      <c r="E252" s="1218"/>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topLeftCell="A154" zoomScale="115" zoomScaleNormal="100" zoomScaleSheetLayoutView="115" workbookViewId="0">
      <selection activeCell="D200" sqref="D200"/>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64" t="s">
        <v>4356</v>
      </c>
      <c r="D1" s="1455"/>
      <c r="E1" s="1455"/>
      <c r="F1" s="1455"/>
    </row>
    <row r="2" spans="3:6" ht="15" thickBot="1">
      <c r="C2" s="1464"/>
      <c r="D2" s="1455"/>
      <c r="E2" s="1455"/>
      <c r="F2" s="1455"/>
    </row>
    <row r="3" spans="3:6">
      <c r="C3" s="2869" t="s">
        <v>20</v>
      </c>
      <c r="D3" s="2869" t="s">
        <v>21</v>
      </c>
      <c r="E3" s="2869" t="s">
        <v>4339</v>
      </c>
      <c r="F3" s="2869" t="s">
        <v>4354</v>
      </c>
    </row>
    <row r="4" spans="3:6">
      <c r="C4" s="2870"/>
      <c r="D4" s="2870"/>
      <c r="E4" s="2870"/>
      <c r="F4" s="2870"/>
    </row>
    <row r="5" spans="3:6">
      <c r="C5" s="2870"/>
      <c r="D5" s="2870"/>
      <c r="E5" s="2870"/>
      <c r="F5" s="2870"/>
    </row>
    <row r="6" spans="3:6" ht="13.8" thickBot="1">
      <c r="C6" s="2871"/>
      <c r="D6" s="2871"/>
      <c r="E6" s="2871"/>
      <c r="F6" s="2871"/>
    </row>
    <row r="7" spans="3:6" ht="13.8">
      <c r="C7" s="1873" t="s">
        <v>33</v>
      </c>
      <c r="D7" s="1874" t="s">
        <v>3626</v>
      </c>
      <c r="E7" s="1875"/>
      <c r="F7" s="1882"/>
    </row>
    <row r="8" spans="3:6" ht="13.8" hidden="1">
      <c r="C8" s="1887" t="s">
        <v>35</v>
      </c>
      <c r="D8" s="1888" t="s">
        <v>2899</v>
      </c>
      <c r="E8" s="1889"/>
      <c r="F8" s="1895"/>
    </row>
    <row r="9" spans="3:6" ht="13.8" hidden="1">
      <c r="C9" s="1902" t="s">
        <v>537</v>
      </c>
      <c r="D9" s="1903" t="s">
        <v>3987</v>
      </c>
      <c r="E9" s="1889" t="s">
        <v>40</v>
      </c>
      <c r="F9" s="1895">
        <f>+'VAL AMP 4 PN'!L18</f>
        <v>0</v>
      </c>
    </row>
    <row r="10" spans="3:6" ht="13.8" hidden="1">
      <c r="C10" s="1887" t="s">
        <v>39</v>
      </c>
      <c r="D10" s="1888" t="s">
        <v>2935</v>
      </c>
      <c r="E10" s="1889"/>
      <c r="F10" s="1895">
        <f>+'VAL AMP 4 PN'!L19</f>
        <v>0</v>
      </c>
    </row>
    <row r="11" spans="3:6" ht="13.8" hidden="1">
      <c r="C11" s="1904" t="s">
        <v>542</v>
      </c>
      <c r="D11" s="1905" t="s">
        <v>2936</v>
      </c>
      <c r="E11" s="1889"/>
      <c r="F11" s="1895">
        <f>+'VAL AMP 4 PN'!L20</f>
        <v>0</v>
      </c>
    </row>
    <row r="12" spans="3:6" ht="13.8" hidden="1">
      <c r="C12" s="1902" t="s">
        <v>3747</v>
      </c>
      <c r="D12" s="1903" t="s">
        <v>3988</v>
      </c>
      <c r="E12" s="1889" t="s">
        <v>37</v>
      </c>
      <c r="F12" s="1895">
        <f>+'VAL AMP 4 PN'!L21</f>
        <v>0</v>
      </c>
    </row>
    <row r="13" spans="3:6" ht="13.8">
      <c r="C13" s="1904" t="s">
        <v>543</v>
      </c>
      <c r="D13" s="1905" t="s">
        <v>3989</v>
      </c>
      <c r="E13" s="1889"/>
      <c r="F13" s="1895"/>
    </row>
    <row r="14" spans="3:6" ht="13.8">
      <c r="C14" s="1902" t="s">
        <v>3749</v>
      </c>
      <c r="D14" s="1903" t="s">
        <v>3990</v>
      </c>
      <c r="E14" s="1889" t="s">
        <v>40</v>
      </c>
      <c r="F14" s="1895">
        <f>+'VAL AMP 4 PN'!L23</f>
        <v>2.25</v>
      </c>
    </row>
    <row r="15" spans="3:6" ht="13.8">
      <c r="C15" s="1902" t="s">
        <v>3751</v>
      </c>
      <c r="D15" s="1903" t="s">
        <v>3991</v>
      </c>
      <c r="E15" s="1889" t="s">
        <v>37</v>
      </c>
      <c r="F15" s="1895">
        <f>+'VAL AMP 4 PN'!L24</f>
        <v>39</v>
      </c>
    </row>
    <row r="16" spans="3:6" ht="13.8">
      <c r="C16" s="1902" t="s">
        <v>3992</v>
      </c>
      <c r="D16" s="1903" t="s">
        <v>3993</v>
      </c>
      <c r="E16" s="1889" t="s">
        <v>48</v>
      </c>
      <c r="F16" s="1895">
        <f>+'VAL AMP 4 PN'!L25</f>
        <v>206.26999999999998</v>
      </c>
    </row>
    <row r="17" spans="3:6" ht="13.8" hidden="1">
      <c r="C17" s="1887" t="s">
        <v>545</v>
      </c>
      <c r="D17" s="1888" t="s">
        <v>3994</v>
      </c>
      <c r="E17" s="1889"/>
      <c r="F17" s="1895"/>
    </row>
    <row r="18" spans="3:6" ht="13.8" hidden="1">
      <c r="C18" s="1902" t="s">
        <v>546</v>
      </c>
      <c r="D18" s="1903" t="s">
        <v>3995</v>
      </c>
      <c r="E18" s="1889" t="s">
        <v>40</v>
      </c>
      <c r="F18" s="1895">
        <f>+'VAL AMP 4 PN'!L27</f>
        <v>0</v>
      </c>
    </row>
    <row r="19" spans="3:6" ht="13.8" hidden="1">
      <c r="C19" s="1902" t="s">
        <v>547</v>
      </c>
      <c r="D19" s="1903" t="s">
        <v>3996</v>
      </c>
      <c r="E19" s="1889" t="s">
        <v>37</v>
      </c>
      <c r="F19" s="1895">
        <f>+'VAL AMP 4 PN'!L28</f>
        <v>0</v>
      </c>
    </row>
    <row r="20" spans="3:6" ht="13.8" hidden="1">
      <c r="C20" s="1902" t="s">
        <v>2250</v>
      </c>
      <c r="D20" s="1903" t="s">
        <v>3997</v>
      </c>
      <c r="E20" s="1889" t="s">
        <v>36</v>
      </c>
      <c r="F20" s="1895">
        <f>+'VAL AMP 4 PN'!L29</f>
        <v>0</v>
      </c>
    </row>
    <row r="21" spans="3:6" ht="13.8" hidden="1">
      <c r="C21" s="1902" t="s">
        <v>2251</v>
      </c>
      <c r="D21" s="1903" t="s">
        <v>3998</v>
      </c>
      <c r="E21" s="1889" t="s">
        <v>3899</v>
      </c>
      <c r="F21" s="1895">
        <f>+'VAL AMP 4 PN'!L30</f>
        <v>0</v>
      </c>
    </row>
    <row r="22" spans="3:6" ht="13.8" hidden="1">
      <c r="C22" s="1902" t="s">
        <v>3768</v>
      </c>
      <c r="D22" s="1903" t="s">
        <v>3999</v>
      </c>
      <c r="E22" s="1889" t="s">
        <v>2828</v>
      </c>
      <c r="F22" s="1895">
        <f>+'VAL AMP 4 PN'!L31</f>
        <v>0</v>
      </c>
    </row>
    <row r="23" spans="3:6" ht="13.8" hidden="1">
      <c r="C23" s="1902" t="s">
        <v>3773</v>
      </c>
      <c r="D23" s="1903" t="s">
        <v>4000</v>
      </c>
      <c r="E23" s="1889" t="s">
        <v>3899</v>
      </c>
      <c r="F23" s="1895">
        <f>+'VAL AMP 4 PN'!L32</f>
        <v>0</v>
      </c>
    </row>
    <row r="24" spans="3:6" ht="13.8" hidden="1">
      <c r="C24" s="1887" t="s">
        <v>548</v>
      </c>
      <c r="D24" s="1888" t="s">
        <v>3025</v>
      </c>
      <c r="E24" s="1889"/>
      <c r="F24" s="1895"/>
    </row>
    <row r="25" spans="3:6" ht="13.8" hidden="1">
      <c r="C25" s="1904" t="s">
        <v>549</v>
      </c>
      <c r="D25" s="1905" t="s">
        <v>4001</v>
      </c>
      <c r="E25" s="1889"/>
      <c r="F25" s="1895"/>
    </row>
    <row r="26" spans="3:6" ht="13.8" hidden="1">
      <c r="C26" s="1902" t="s">
        <v>4002</v>
      </c>
      <c r="D26" s="1903" t="s">
        <v>4003</v>
      </c>
      <c r="E26" s="1889" t="s">
        <v>36</v>
      </c>
      <c r="F26" s="1895">
        <f>+'VAL AMP 4 PN'!L35</f>
        <v>0</v>
      </c>
    </row>
    <row r="27" spans="3:6" ht="13.8" hidden="1">
      <c r="C27" s="1902" t="s">
        <v>4004</v>
      </c>
      <c r="D27" s="1903" t="s">
        <v>4005</v>
      </c>
      <c r="E27" s="1889" t="s">
        <v>36</v>
      </c>
      <c r="F27" s="1895">
        <f>+'VAL AMP 4 PN'!L36</f>
        <v>0</v>
      </c>
    </row>
    <row r="28" spans="3:6" ht="13.8" hidden="1">
      <c r="C28" s="1902" t="s">
        <v>4006</v>
      </c>
      <c r="D28" s="1903" t="s">
        <v>4007</v>
      </c>
      <c r="E28" s="1889" t="s">
        <v>38</v>
      </c>
      <c r="F28" s="1895">
        <f>+'VAL AMP 4 PN'!L37</f>
        <v>0</v>
      </c>
    </row>
    <row r="29" spans="3:6" ht="13.8" hidden="1">
      <c r="C29" s="1902" t="s">
        <v>4008</v>
      </c>
      <c r="D29" s="1903" t="s">
        <v>4009</v>
      </c>
      <c r="E29" s="1889" t="s">
        <v>37</v>
      </c>
      <c r="F29" s="1895">
        <f>+'VAL AMP 4 PN'!L38</f>
        <v>0</v>
      </c>
    </row>
    <row r="30" spans="3:6" ht="13.8" hidden="1">
      <c r="C30" s="1902" t="s">
        <v>4010</v>
      </c>
      <c r="D30" s="1903" t="s">
        <v>4011</v>
      </c>
      <c r="E30" s="1889" t="s">
        <v>36</v>
      </c>
      <c r="F30" s="1895">
        <f>+'VAL AMP 4 PN'!L39</f>
        <v>0</v>
      </c>
    </row>
    <row r="31" spans="3:6" ht="13.8" hidden="1">
      <c r="C31" s="1902" t="s">
        <v>4012</v>
      </c>
      <c r="D31" s="1903" t="s">
        <v>4013</v>
      </c>
      <c r="E31" s="1889" t="s">
        <v>36</v>
      </c>
      <c r="F31" s="1895">
        <f>+'VAL AMP 4 PN'!L40</f>
        <v>0</v>
      </c>
    </row>
    <row r="32" spans="3:6" ht="13.8" hidden="1">
      <c r="C32" s="1902" t="s">
        <v>4014</v>
      </c>
      <c r="D32" s="1903" t="s">
        <v>4015</v>
      </c>
      <c r="E32" s="1889" t="s">
        <v>36</v>
      </c>
      <c r="F32" s="1895">
        <f>+'VAL AMP 4 PN'!L41</f>
        <v>0</v>
      </c>
    </row>
    <row r="33" spans="3:6" ht="13.8" hidden="1">
      <c r="C33" s="1902" t="s">
        <v>4016</v>
      </c>
      <c r="D33" s="1903" t="s">
        <v>4017</v>
      </c>
      <c r="E33" s="1889" t="s">
        <v>38</v>
      </c>
      <c r="F33" s="1895">
        <f>+'VAL AMP 4 PN'!L42</f>
        <v>0</v>
      </c>
    </row>
    <row r="34" spans="3:6" ht="13.8" hidden="1">
      <c r="C34" s="1902" t="s">
        <v>4018</v>
      </c>
      <c r="D34" s="1903" t="s">
        <v>4019</v>
      </c>
      <c r="E34" s="1889" t="s">
        <v>38</v>
      </c>
      <c r="F34" s="1895">
        <f>+'VAL AMP 4 PN'!L43</f>
        <v>0</v>
      </c>
    </row>
    <row r="35" spans="3:6" ht="13.8" hidden="1">
      <c r="C35" s="1902" t="s">
        <v>4020</v>
      </c>
      <c r="D35" s="1903" t="s">
        <v>4021</v>
      </c>
      <c r="E35" s="1889" t="s">
        <v>38</v>
      </c>
      <c r="F35" s="1895">
        <f>+'VAL AMP 4 PN'!L44</f>
        <v>0</v>
      </c>
    </row>
    <row r="36" spans="3:6" ht="13.8" hidden="1">
      <c r="C36" s="1902" t="s">
        <v>4022</v>
      </c>
      <c r="D36" s="1903" t="s">
        <v>4023</v>
      </c>
      <c r="E36" s="1889" t="s">
        <v>38</v>
      </c>
      <c r="F36" s="1895">
        <f>+'VAL AMP 4 PN'!L45</f>
        <v>0</v>
      </c>
    </row>
    <row r="37" spans="3:6" ht="13.8" hidden="1">
      <c r="C37" s="1902" t="s">
        <v>4024</v>
      </c>
      <c r="D37" s="1903" t="s">
        <v>4025</v>
      </c>
      <c r="E37" s="1889" t="s">
        <v>38</v>
      </c>
      <c r="F37" s="1895">
        <f>+'VAL AMP 4 PN'!L46</f>
        <v>0</v>
      </c>
    </row>
    <row r="38" spans="3:6" ht="13.8" hidden="1">
      <c r="C38" s="1902" t="s">
        <v>4026</v>
      </c>
      <c r="D38" s="1903" t="s">
        <v>4027</v>
      </c>
      <c r="E38" s="1889" t="s">
        <v>37</v>
      </c>
      <c r="F38" s="1895">
        <f>+'VAL AMP 4 PN'!L47</f>
        <v>0</v>
      </c>
    </row>
    <row r="39" spans="3:6" ht="13.8" hidden="1">
      <c r="C39" s="1906" t="s">
        <v>4028</v>
      </c>
      <c r="D39" s="1907" t="s">
        <v>4029</v>
      </c>
      <c r="E39" s="1889"/>
      <c r="F39" s="1895">
        <f>+'VAL AMP 4 PN'!L48</f>
        <v>0</v>
      </c>
    </row>
    <row r="40" spans="3:6" ht="13.8" hidden="1">
      <c r="C40" s="1902" t="s">
        <v>4030</v>
      </c>
      <c r="D40" s="1903" t="s">
        <v>4031</v>
      </c>
      <c r="E40" s="1889" t="s">
        <v>36</v>
      </c>
      <c r="F40" s="1895">
        <f>+'VAL AMP 4 PN'!L49</f>
        <v>0</v>
      </c>
    </row>
    <row r="41" spans="3:6" ht="13.8" hidden="1">
      <c r="C41" s="1904" t="s">
        <v>550</v>
      </c>
      <c r="D41" s="1905" t="s">
        <v>4032</v>
      </c>
      <c r="E41" s="1889"/>
      <c r="F41" s="1895">
        <f>+'VAL AMP 4 PN'!L50</f>
        <v>0</v>
      </c>
    </row>
    <row r="42" spans="3:6" ht="13.8" hidden="1">
      <c r="C42" s="1902" t="s">
        <v>4033</v>
      </c>
      <c r="D42" s="1903" t="s">
        <v>4034</v>
      </c>
      <c r="E42" s="1889" t="s">
        <v>36</v>
      </c>
      <c r="F42" s="1895">
        <f>+'VAL AMP 4 PN'!L51</f>
        <v>0</v>
      </c>
    </row>
    <row r="43" spans="3:6" ht="13.8" hidden="1">
      <c r="C43" s="1902" t="s">
        <v>4035</v>
      </c>
      <c r="D43" s="1903" t="s">
        <v>4036</v>
      </c>
      <c r="E43" s="1889" t="s">
        <v>36</v>
      </c>
      <c r="F43" s="1895">
        <f>+'VAL AMP 4 PN'!L52</f>
        <v>0</v>
      </c>
    </row>
    <row r="44" spans="3:6" ht="13.8" hidden="1">
      <c r="C44" s="1902" t="s">
        <v>4037</v>
      </c>
      <c r="D44" s="1903" t="s">
        <v>4007</v>
      </c>
      <c r="E44" s="1889" t="s">
        <v>38</v>
      </c>
      <c r="F44" s="1895">
        <f>+'VAL AMP 4 PN'!L53</f>
        <v>0</v>
      </c>
    </row>
    <row r="45" spans="3:6" ht="13.8" hidden="1">
      <c r="C45" s="1902" t="s">
        <v>4038</v>
      </c>
      <c r="D45" s="1903" t="s">
        <v>4039</v>
      </c>
      <c r="E45" s="1889" t="s">
        <v>37</v>
      </c>
      <c r="F45" s="1895">
        <f>+'VAL AMP 4 PN'!L54</f>
        <v>0</v>
      </c>
    </row>
    <row r="46" spans="3:6" ht="13.8" hidden="1">
      <c r="C46" s="1902" t="s">
        <v>4040</v>
      </c>
      <c r="D46" s="1903" t="s">
        <v>4041</v>
      </c>
      <c r="E46" s="1889" t="s">
        <v>38</v>
      </c>
      <c r="F46" s="1895">
        <f>+'VAL AMP 4 PN'!L55</f>
        <v>0</v>
      </c>
    </row>
    <row r="47" spans="3:6" ht="13.8" hidden="1">
      <c r="C47" s="1902" t="s">
        <v>4042</v>
      </c>
      <c r="D47" s="1903" t="s">
        <v>4019</v>
      </c>
      <c r="E47" s="1889" t="s">
        <v>38</v>
      </c>
      <c r="F47" s="1895">
        <f>+'VAL AMP 4 PN'!L56</f>
        <v>0</v>
      </c>
    </row>
    <row r="48" spans="3:6" ht="13.8" hidden="1">
      <c r="C48" s="1902" t="s">
        <v>4043</v>
      </c>
      <c r="D48" s="1903" t="s">
        <v>4044</v>
      </c>
      <c r="E48" s="1889" t="s">
        <v>38</v>
      </c>
      <c r="F48" s="1895">
        <f>+'VAL AMP 4 PN'!L57</f>
        <v>0</v>
      </c>
    </row>
    <row r="49" spans="3:6" ht="13.8" hidden="1">
      <c r="C49" s="1902" t="s">
        <v>4045</v>
      </c>
      <c r="D49" s="1903" t="s">
        <v>4046</v>
      </c>
      <c r="E49" s="1889" t="s">
        <v>38</v>
      </c>
      <c r="F49" s="1895">
        <f>+'VAL AMP 4 PN'!L58</f>
        <v>0</v>
      </c>
    </row>
    <row r="50" spans="3:6" ht="13.8" hidden="1">
      <c r="C50" s="1902" t="s">
        <v>4047</v>
      </c>
      <c r="D50" s="1903" t="s">
        <v>4048</v>
      </c>
      <c r="E50" s="1889" t="s">
        <v>38</v>
      </c>
      <c r="F50" s="1895">
        <f>+'VAL AMP 4 PN'!L59</f>
        <v>0</v>
      </c>
    </row>
    <row r="51" spans="3:6" ht="13.8" hidden="1">
      <c r="C51" s="1902" t="s">
        <v>4049</v>
      </c>
      <c r="D51" s="1903" t="s">
        <v>4027</v>
      </c>
      <c r="E51" s="1889" t="s">
        <v>37</v>
      </c>
      <c r="F51" s="1895">
        <f>+'VAL AMP 4 PN'!L60</f>
        <v>0</v>
      </c>
    </row>
    <row r="52" spans="3:6" ht="13.8" hidden="1">
      <c r="C52" s="1906" t="s">
        <v>4050</v>
      </c>
      <c r="D52" s="1907" t="s">
        <v>4029</v>
      </c>
      <c r="E52" s="1889"/>
      <c r="F52" s="1895">
        <f>+'VAL AMP 4 PN'!L61</f>
        <v>0</v>
      </c>
    </row>
    <row r="53" spans="3:6" ht="13.8" hidden="1">
      <c r="C53" s="1902" t="s">
        <v>4051</v>
      </c>
      <c r="D53" s="1903" t="s">
        <v>4052</v>
      </c>
      <c r="E53" s="1889" t="s">
        <v>36</v>
      </c>
      <c r="F53" s="1895">
        <f>+'VAL AMP 4 PN'!L62</f>
        <v>0</v>
      </c>
    </row>
    <row r="54" spans="3:6" ht="13.8" hidden="1">
      <c r="C54" s="1904" t="s">
        <v>2252</v>
      </c>
      <c r="D54" s="1905" t="s">
        <v>4053</v>
      </c>
      <c r="E54" s="1889"/>
      <c r="F54" s="1895">
        <f>+'VAL AMP 4 PN'!L63</f>
        <v>0</v>
      </c>
    </row>
    <row r="55" spans="3:6" ht="13.8" hidden="1">
      <c r="C55" s="1902" t="s">
        <v>4054</v>
      </c>
      <c r="D55" s="1903" t="s">
        <v>4055</v>
      </c>
      <c r="E55" s="1889" t="s">
        <v>36</v>
      </c>
      <c r="F55" s="1895">
        <f>+'VAL AMP 4 PN'!L64</f>
        <v>0</v>
      </c>
    </row>
    <row r="56" spans="3:6" ht="13.8" hidden="1">
      <c r="C56" s="1902" t="s">
        <v>4056</v>
      </c>
      <c r="D56" s="1903" t="s">
        <v>4057</v>
      </c>
      <c r="E56" s="1889" t="s">
        <v>36</v>
      </c>
      <c r="F56" s="1895">
        <f>+'VAL AMP 4 PN'!L65</f>
        <v>0</v>
      </c>
    </row>
    <row r="57" spans="3:6" ht="13.8" hidden="1">
      <c r="C57" s="1902" t="s">
        <v>4058</v>
      </c>
      <c r="D57" s="1903" t="s">
        <v>4007</v>
      </c>
      <c r="E57" s="1889" t="s">
        <v>38</v>
      </c>
      <c r="F57" s="1895">
        <f>+'VAL AMP 4 PN'!L66</f>
        <v>0</v>
      </c>
    </row>
    <row r="58" spans="3:6" ht="13.8" hidden="1">
      <c r="C58" s="1902" t="s">
        <v>4059</v>
      </c>
      <c r="D58" s="1903" t="s">
        <v>4060</v>
      </c>
      <c r="E58" s="1889" t="s">
        <v>37</v>
      </c>
      <c r="F58" s="1895">
        <f>+'VAL AMP 4 PN'!L67</f>
        <v>0</v>
      </c>
    </row>
    <row r="59" spans="3:6" ht="13.8" hidden="1">
      <c r="C59" s="1902" t="s">
        <v>4061</v>
      </c>
      <c r="D59" s="1903" t="s">
        <v>4062</v>
      </c>
      <c r="E59" s="1889" t="s">
        <v>38</v>
      </c>
      <c r="F59" s="1895">
        <f>+'VAL AMP 4 PN'!L68</f>
        <v>0</v>
      </c>
    </row>
    <row r="60" spans="3:6" ht="13.8" hidden="1">
      <c r="C60" s="1902" t="s">
        <v>4063</v>
      </c>
      <c r="D60" s="1903" t="s">
        <v>4019</v>
      </c>
      <c r="E60" s="1889" t="s">
        <v>38</v>
      </c>
      <c r="F60" s="1895">
        <f>+'VAL AMP 4 PN'!L69</f>
        <v>0</v>
      </c>
    </row>
    <row r="61" spans="3:6" ht="13.8" hidden="1">
      <c r="C61" s="1902" t="s">
        <v>4064</v>
      </c>
      <c r="D61" s="1903" t="s">
        <v>4065</v>
      </c>
      <c r="E61" s="1889" t="s">
        <v>38</v>
      </c>
      <c r="F61" s="1895">
        <f>+'VAL AMP 4 PN'!L70</f>
        <v>0</v>
      </c>
    </row>
    <row r="62" spans="3:6" ht="13.8" hidden="1">
      <c r="C62" s="1902" t="s">
        <v>4066</v>
      </c>
      <c r="D62" s="1903" t="s">
        <v>4067</v>
      </c>
      <c r="E62" s="1889" t="s">
        <v>38</v>
      </c>
      <c r="F62" s="1895">
        <f>+'VAL AMP 4 PN'!L71</f>
        <v>0</v>
      </c>
    </row>
    <row r="63" spans="3:6" ht="13.8" hidden="1">
      <c r="C63" s="1902" t="s">
        <v>4068</v>
      </c>
      <c r="D63" s="1903" t="s">
        <v>4069</v>
      </c>
      <c r="E63" s="1889" t="s">
        <v>38</v>
      </c>
      <c r="F63" s="1895">
        <f>+'VAL AMP 4 PN'!L72</f>
        <v>0</v>
      </c>
    </row>
    <row r="64" spans="3:6" ht="13.8" hidden="1">
      <c r="C64" s="1902" t="s">
        <v>4070</v>
      </c>
      <c r="D64" s="1903" t="s">
        <v>4027</v>
      </c>
      <c r="E64" s="1889" t="s">
        <v>37</v>
      </c>
      <c r="F64" s="1895">
        <f>+'VAL AMP 4 PN'!L73</f>
        <v>0</v>
      </c>
    </row>
    <row r="65" spans="3:6" ht="13.8" hidden="1">
      <c r="C65" s="1906" t="s">
        <v>4071</v>
      </c>
      <c r="D65" s="1907" t="s">
        <v>4029</v>
      </c>
      <c r="E65" s="1889"/>
      <c r="F65" s="1895">
        <f>+'VAL AMP 4 PN'!L74</f>
        <v>0</v>
      </c>
    </row>
    <row r="66" spans="3:6" ht="13.8" hidden="1">
      <c r="C66" s="1902" t="s">
        <v>4072</v>
      </c>
      <c r="D66" s="1903" t="s">
        <v>4073</v>
      </c>
      <c r="E66" s="1889" t="s">
        <v>36</v>
      </c>
      <c r="F66" s="1895">
        <f>+'VAL AMP 4 PN'!L75</f>
        <v>0</v>
      </c>
    </row>
    <row r="67" spans="3:6" ht="13.8" hidden="1">
      <c r="C67" s="1904" t="s">
        <v>4074</v>
      </c>
      <c r="D67" s="1905" t="s">
        <v>4075</v>
      </c>
      <c r="E67" s="1889"/>
      <c r="F67" s="1895">
        <f>+'VAL AMP 4 PN'!L76</f>
        <v>0</v>
      </c>
    </row>
    <row r="68" spans="3:6" ht="13.8" hidden="1">
      <c r="C68" s="1902" t="s">
        <v>4076</v>
      </c>
      <c r="D68" s="1903" t="s">
        <v>4077</v>
      </c>
      <c r="E68" s="1889" t="s">
        <v>36</v>
      </c>
      <c r="F68" s="1895">
        <f>+'VAL AMP 4 PN'!L77</f>
        <v>0</v>
      </c>
    </row>
    <row r="69" spans="3:6" ht="13.8" hidden="1">
      <c r="C69" s="1902" t="s">
        <v>4078</v>
      </c>
      <c r="D69" s="1903" t="s">
        <v>4079</v>
      </c>
      <c r="E69" s="1889" t="s">
        <v>36</v>
      </c>
      <c r="F69" s="1895">
        <f>+'VAL AMP 4 PN'!L78</f>
        <v>0</v>
      </c>
    </row>
    <row r="70" spans="3:6" ht="13.8" hidden="1">
      <c r="C70" s="1902" t="s">
        <v>4080</v>
      </c>
      <c r="D70" s="1903" t="s">
        <v>4081</v>
      </c>
      <c r="E70" s="1889" t="s">
        <v>36</v>
      </c>
      <c r="F70" s="1895">
        <f>+'VAL AMP 4 PN'!L79</f>
        <v>0</v>
      </c>
    </row>
    <row r="71" spans="3:6" ht="13.8" hidden="1">
      <c r="C71" s="1902" t="s">
        <v>4082</v>
      </c>
      <c r="D71" s="1903" t="s">
        <v>4083</v>
      </c>
      <c r="E71" s="1889" t="s">
        <v>36</v>
      </c>
      <c r="F71" s="1895">
        <f>+'VAL AMP 4 PN'!L80</f>
        <v>0</v>
      </c>
    </row>
    <row r="72" spans="3:6" ht="13.8" hidden="1">
      <c r="C72" s="1902" t="s">
        <v>4084</v>
      </c>
      <c r="D72" s="1903" t="s">
        <v>4085</v>
      </c>
      <c r="E72" s="1889" t="s">
        <v>38</v>
      </c>
      <c r="F72" s="1895">
        <f>+'VAL AMP 4 PN'!L81</f>
        <v>0</v>
      </c>
    </row>
    <row r="73" spans="3:6" ht="13.8" hidden="1">
      <c r="C73" s="1902" t="s">
        <v>4086</v>
      </c>
      <c r="D73" s="1903" t="s">
        <v>4087</v>
      </c>
      <c r="E73" s="1889" t="s">
        <v>38</v>
      </c>
      <c r="F73" s="1895">
        <f>+'VAL AMP 4 PN'!L82</f>
        <v>0</v>
      </c>
    </row>
    <row r="74" spans="3:6" ht="13.8" hidden="1">
      <c r="C74" s="1902" t="s">
        <v>4088</v>
      </c>
      <c r="D74" s="1903" t="s">
        <v>4089</v>
      </c>
      <c r="E74" s="1889" t="s">
        <v>37</v>
      </c>
      <c r="F74" s="1895">
        <f>+'VAL AMP 4 PN'!L83</f>
        <v>0</v>
      </c>
    </row>
    <row r="75" spans="3:6" ht="13.8" hidden="1">
      <c r="C75" s="1902" t="s">
        <v>4090</v>
      </c>
      <c r="D75" s="1903" t="s">
        <v>4011</v>
      </c>
      <c r="E75" s="1889" t="s">
        <v>36</v>
      </c>
      <c r="F75" s="1895">
        <f>+'VAL AMP 4 PN'!L84</f>
        <v>0</v>
      </c>
    </row>
    <row r="76" spans="3:6" ht="13.8" hidden="1">
      <c r="C76" s="1902" t="s">
        <v>4091</v>
      </c>
      <c r="D76" s="1903" t="s">
        <v>4013</v>
      </c>
      <c r="E76" s="1889" t="s">
        <v>36</v>
      </c>
      <c r="F76" s="1895">
        <f>+'VAL AMP 4 PN'!L85</f>
        <v>0</v>
      </c>
    </row>
    <row r="77" spans="3:6" ht="13.8" hidden="1">
      <c r="C77" s="1902" t="s">
        <v>4092</v>
      </c>
      <c r="D77" s="1903" t="s">
        <v>4015</v>
      </c>
      <c r="E77" s="1889" t="s">
        <v>36</v>
      </c>
      <c r="F77" s="1895">
        <f>+'VAL AMP 4 PN'!L86</f>
        <v>0</v>
      </c>
    </row>
    <row r="78" spans="3:6" ht="13.8" hidden="1">
      <c r="C78" s="1902" t="s">
        <v>4093</v>
      </c>
      <c r="D78" s="1903" t="s">
        <v>4094</v>
      </c>
      <c r="E78" s="1889" t="s">
        <v>38</v>
      </c>
      <c r="F78" s="1895">
        <f>+'VAL AMP 4 PN'!L87</f>
        <v>0</v>
      </c>
    </row>
    <row r="79" spans="3:6" ht="13.8" hidden="1">
      <c r="C79" s="1902" t="s">
        <v>4095</v>
      </c>
      <c r="D79" s="1903" t="s">
        <v>4096</v>
      </c>
      <c r="E79" s="1889" t="s">
        <v>38</v>
      </c>
      <c r="F79" s="1895">
        <f>+'VAL AMP 4 PN'!L88</f>
        <v>0</v>
      </c>
    </row>
    <row r="80" spans="3:6" ht="13.8" hidden="1">
      <c r="C80" s="1902" t="s">
        <v>4097</v>
      </c>
      <c r="D80" s="1903" t="s">
        <v>4098</v>
      </c>
      <c r="E80" s="1889" t="s">
        <v>38</v>
      </c>
      <c r="F80" s="1895">
        <f>+'VAL AMP 4 PN'!L89</f>
        <v>0</v>
      </c>
    </row>
    <row r="81" spans="3:6" ht="13.8" hidden="1">
      <c r="C81" s="1902" t="s">
        <v>4099</v>
      </c>
      <c r="D81" s="1903" t="s">
        <v>4100</v>
      </c>
      <c r="E81" s="1889" t="s">
        <v>38</v>
      </c>
      <c r="F81" s="1895">
        <f>+'VAL AMP 4 PN'!L90</f>
        <v>0</v>
      </c>
    </row>
    <row r="82" spans="3:6" ht="13.8" hidden="1">
      <c r="C82" s="1902" t="s">
        <v>4101</v>
      </c>
      <c r="D82" s="1903" t="s">
        <v>4102</v>
      </c>
      <c r="E82" s="1889" t="s">
        <v>38</v>
      </c>
      <c r="F82" s="1895">
        <f>+'VAL AMP 4 PN'!L91</f>
        <v>0</v>
      </c>
    </row>
    <row r="83" spans="3:6" ht="13.8" hidden="1">
      <c r="C83" s="1902" t="s">
        <v>4103</v>
      </c>
      <c r="D83" s="1903" t="s">
        <v>4027</v>
      </c>
      <c r="E83" s="1889" t="s">
        <v>37</v>
      </c>
      <c r="F83" s="1895">
        <f>+'VAL AMP 4 PN'!L92</f>
        <v>0</v>
      </c>
    </row>
    <row r="84" spans="3:6" ht="13.8" hidden="1">
      <c r="C84" s="1906" t="s">
        <v>4104</v>
      </c>
      <c r="D84" s="1907" t="s">
        <v>4029</v>
      </c>
      <c r="E84" s="1889"/>
      <c r="F84" s="1895">
        <f>+'VAL AMP 4 PN'!L93</f>
        <v>0</v>
      </c>
    </row>
    <row r="85" spans="3:6" ht="13.8" hidden="1">
      <c r="C85" s="1902" t="s">
        <v>4105</v>
      </c>
      <c r="D85" s="1903" t="s">
        <v>4106</v>
      </c>
      <c r="E85" s="1889" t="s">
        <v>36</v>
      </c>
      <c r="F85" s="1895">
        <f>+'VAL AMP 4 PN'!L94</f>
        <v>0</v>
      </c>
    </row>
    <row r="86" spans="3:6" ht="13.8" hidden="1">
      <c r="C86" s="1904" t="s">
        <v>4107</v>
      </c>
      <c r="D86" s="1905" t="s">
        <v>4108</v>
      </c>
      <c r="E86" s="1889"/>
      <c r="F86" s="1895">
        <f>+'VAL AMP 4 PN'!L95</f>
        <v>0</v>
      </c>
    </row>
    <row r="87" spans="3:6" ht="13.8" hidden="1">
      <c r="C87" s="1902" t="s">
        <v>4109</v>
      </c>
      <c r="D87" s="1903" t="s">
        <v>4110</v>
      </c>
      <c r="E87" s="1889" t="s">
        <v>36</v>
      </c>
      <c r="F87" s="1895">
        <f>+'VAL AMP 4 PN'!L96</f>
        <v>0</v>
      </c>
    </row>
    <row r="88" spans="3:6" ht="13.8" hidden="1">
      <c r="C88" s="1902" t="s">
        <v>4111</v>
      </c>
      <c r="D88" s="1903" t="s">
        <v>4112</v>
      </c>
      <c r="E88" s="1889" t="s">
        <v>36</v>
      </c>
      <c r="F88" s="1895">
        <f>+'VAL AMP 4 PN'!L97</f>
        <v>0</v>
      </c>
    </row>
    <row r="89" spans="3:6" ht="13.8" hidden="1">
      <c r="C89" s="1902" t="s">
        <v>4113</v>
      </c>
      <c r="D89" s="1903" t="s">
        <v>4114</v>
      </c>
      <c r="E89" s="1889" t="s">
        <v>38</v>
      </c>
      <c r="F89" s="1895">
        <f>+'VAL AMP 4 PN'!L98</f>
        <v>0</v>
      </c>
    </row>
    <row r="90" spans="3:6" ht="13.8" hidden="1">
      <c r="C90" s="1902" t="s">
        <v>4115</v>
      </c>
      <c r="D90" s="1903" t="s">
        <v>4116</v>
      </c>
      <c r="E90" s="1889" t="s">
        <v>37</v>
      </c>
      <c r="F90" s="1895">
        <f>+'VAL AMP 4 PN'!L99</f>
        <v>0</v>
      </c>
    </row>
    <row r="91" spans="3:6" ht="13.8" hidden="1">
      <c r="C91" s="1902" t="s">
        <v>4117</v>
      </c>
      <c r="D91" s="1903" t="s">
        <v>4118</v>
      </c>
      <c r="E91" s="1889" t="s">
        <v>36</v>
      </c>
      <c r="F91" s="1895">
        <f>+'VAL AMP 4 PN'!L100</f>
        <v>0</v>
      </c>
    </row>
    <row r="92" spans="3:6" ht="13.8" hidden="1">
      <c r="C92" s="1902" t="s">
        <v>4119</v>
      </c>
      <c r="D92" s="1903" t="s">
        <v>4120</v>
      </c>
      <c r="E92" s="1889" t="s">
        <v>36</v>
      </c>
      <c r="F92" s="1895">
        <f>+'VAL AMP 4 PN'!L101</f>
        <v>0</v>
      </c>
    </row>
    <row r="93" spans="3:6" ht="13.8" hidden="1">
      <c r="C93" s="1902" t="s">
        <v>4121</v>
      </c>
      <c r="D93" s="1903" t="s">
        <v>4122</v>
      </c>
      <c r="E93" s="1889" t="s">
        <v>38</v>
      </c>
      <c r="F93" s="1895">
        <f>+'VAL AMP 4 PN'!L102</f>
        <v>0</v>
      </c>
    </row>
    <row r="94" spans="3:6" ht="13.8" hidden="1">
      <c r="C94" s="1902" t="s">
        <v>4123</v>
      </c>
      <c r="D94" s="1903" t="s">
        <v>4124</v>
      </c>
      <c r="E94" s="1889" t="s">
        <v>38</v>
      </c>
      <c r="F94" s="1895">
        <f>+'VAL AMP 4 PN'!L103</f>
        <v>0</v>
      </c>
    </row>
    <row r="95" spans="3:6" ht="13.8" hidden="1">
      <c r="C95" s="1902" t="s">
        <v>4125</v>
      </c>
      <c r="D95" s="1903" t="s">
        <v>4126</v>
      </c>
      <c r="E95" s="1889" t="s">
        <v>38</v>
      </c>
      <c r="F95" s="1895">
        <f>+'VAL AMP 4 PN'!L104</f>
        <v>0</v>
      </c>
    </row>
    <row r="96" spans="3:6" ht="13.8" hidden="1">
      <c r="C96" s="1902" t="s">
        <v>4127</v>
      </c>
      <c r="D96" s="1903" t="s">
        <v>4067</v>
      </c>
      <c r="E96" s="1889" t="s">
        <v>38</v>
      </c>
      <c r="F96" s="1895">
        <f>+'VAL AMP 4 PN'!L105</f>
        <v>0</v>
      </c>
    </row>
    <row r="97" spans="3:6" ht="13.8" hidden="1">
      <c r="C97" s="1902" t="s">
        <v>4128</v>
      </c>
      <c r="D97" s="1903" t="s">
        <v>4129</v>
      </c>
      <c r="E97" s="1889" t="s">
        <v>38</v>
      </c>
      <c r="F97" s="1895">
        <f>+'VAL AMP 4 PN'!L106</f>
        <v>0</v>
      </c>
    </row>
    <row r="98" spans="3:6" ht="13.8" hidden="1">
      <c r="C98" s="1902" t="s">
        <v>4130</v>
      </c>
      <c r="D98" s="1903" t="s">
        <v>4027</v>
      </c>
      <c r="E98" s="1889" t="s">
        <v>37</v>
      </c>
      <c r="F98" s="1895">
        <f>+'VAL AMP 4 PN'!L107</f>
        <v>0</v>
      </c>
    </row>
    <row r="99" spans="3:6" ht="13.8" hidden="1">
      <c r="C99" s="1906" t="s">
        <v>4131</v>
      </c>
      <c r="D99" s="1907" t="s">
        <v>4029</v>
      </c>
      <c r="E99" s="1889"/>
      <c r="F99" s="1895">
        <f>+'VAL AMP 4 PN'!L108</f>
        <v>0</v>
      </c>
    </row>
    <row r="100" spans="3:6" ht="13.8" hidden="1">
      <c r="C100" s="1902" t="s">
        <v>4132</v>
      </c>
      <c r="D100" s="1903" t="s">
        <v>4133</v>
      </c>
      <c r="E100" s="1889" t="s">
        <v>36</v>
      </c>
      <c r="F100" s="1895">
        <f>+'VAL AMP 4 PN'!L109</f>
        <v>0</v>
      </c>
    </row>
    <row r="101" spans="3:6" ht="13.8" hidden="1">
      <c r="C101" s="1904" t="s">
        <v>4134</v>
      </c>
      <c r="D101" s="1905" t="s">
        <v>4135</v>
      </c>
      <c r="E101" s="1889"/>
      <c r="F101" s="1895">
        <f>+'VAL AMP 4 PN'!L110</f>
        <v>0</v>
      </c>
    </row>
    <row r="102" spans="3:6" ht="13.8" hidden="1">
      <c r="C102" s="1902" t="s">
        <v>4136</v>
      </c>
      <c r="D102" s="1903" t="s">
        <v>4137</v>
      </c>
      <c r="E102" s="1889" t="s">
        <v>36</v>
      </c>
      <c r="F102" s="1895">
        <f>+'VAL AMP 4 PN'!L111</f>
        <v>0</v>
      </c>
    </row>
    <row r="103" spans="3:6" ht="13.8" hidden="1">
      <c r="C103" s="1902" t="s">
        <v>4138</v>
      </c>
      <c r="D103" s="1903" t="s">
        <v>4139</v>
      </c>
      <c r="E103" s="1889" t="s">
        <v>36</v>
      </c>
      <c r="F103" s="1895">
        <f>+'VAL AMP 4 PN'!L112</f>
        <v>0</v>
      </c>
    </row>
    <row r="104" spans="3:6" ht="13.8" hidden="1">
      <c r="C104" s="1902" t="s">
        <v>4140</v>
      </c>
      <c r="D104" s="1903" t="s">
        <v>4141</v>
      </c>
      <c r="E104" s="1889" t="s">
        <v>36</v>
      </c>
      <c r="F104" s="1895">
        <f>+'VAL AMP 4 PN'!L113</f>
        <v>0</v>
      </c>
    </row>
    <row r="105" spans="3:6" ht="13.8" hidden="1">
      <c r="C105" s="1902" t="s">
        <v>4142</v>
      </c>
      <c r="D105" s="1903" t="s">
        <v>4143</v>
      </c>
      <c r="E105" s="1889" t="s">
        <v>38</v>
      </c>
      <c r="F105" s="1895">
        <f>+'VAL AMP 4 PN'!L114</f>
        <v>0</v>
      </c>
    </row>
    <row r="106" spans="3:6" ht="13.8" hidden="1">
      <c r="C106" s="1902" t="s">
        <v>4144</v>
      </c>
      <c r="D106" s="1903" t="s">
        <v>4145</v>
      </c>
      <c r="E106" s="1889" t="s">
        <v>38</v>
      </c>
      <c r="F106" s="1895">
        <f>+'VAL AMP 4 PN'!L115</f>
        <v>0</v>
      </c>
    </row>
    <row r="107" spans="3:6" ht="13.8" hidden="1">
      <c r="C107" s="1906" t="s">
        <v>4146</v>
      </c>
      <c r="D107" s="1907" t="s">
        <v>4029</v>
      </c>
      <c r="E107" s="1889"/>
      <c r="F107" s="1895">
        <f>+'VAL AMP 4 PN'!L116</f>
        <v>0</v>
      </c>
    </row>
    <row r="108" spans="3:6" ht="13.8" hidden="1">
      <c r="C108" s="1902" t="s">
        <v>4147</v>
      </c>
      <c r="D108" s="1903" t="s">
        <v>4148</v>
      </c>
      <c r="E108" s="1889" t="s">
        <v>36</v>
      </c>
      <c r="F108" s="1895">
        <f>+'VAL AMP 4 PN'!L117</f>
        <v>0</v>
      </c>
    </row>
    <row r="109" spans="3:6" ht="13.8" hidden="1">
      <c r="C109" s="1902" t="s">
        <v>4149</v>
      </c>
      <c r="D109" s="1903" t="s">
        <v>4150</v>
      </c>
      <c r="E109" s="1889" t="s">
        <v>38</v>
      </c>
      <c r="F109" s="1895">
        <f>+'VAL AMP 4 PN'!L118</f>
        <v>0</v>
      </c>
    </row>
    <row r="110" spans="3:6" ht="13.8" hidden="1">
      <c r="C110" s="1904" t="s">
        <v>4151</v>
      </c>
      <c r="D110" s="1905" t="s">
        <v>4152</v>
      </c>
      <c r="E110" s="1889"/>
      <c r="F110" s="1895">
        <f>+'VAL AMP 4 PN'!L119</f>
        <v>0</v>
      </c>
    </row>
    <row r="111" spans="3:6" ht="13.8" hidden="1">
      <c r="C111" s="1902" t="s">
        <v>4153</v>
      </c>
      <c r="D111" s="1903" t="s">
        <v>4154</v>
      </c>
      <c r="E111" s="1889" t="s">
        <v>36</v>
      </c>
      <c r="F111" s="1895">
        <f>+'VAL AMP 4 PN'!L120</f>
        <v>0</v>
      </c>
    </row>
    <row r="112" spans="3:6" ht="13.8" hidden="1">
      <c r="C112" s="1902" t="s">
        <v>4155</v>
      </c>
      <c r="D112" s="1903" t="s">
        <v>4156</v>
      </c>
      <c r="E112" s="1889" t="s">
        <v>36</v>
      </c>
      <c r="F112" s="1895">
        <f>+'VAL AMP 4 PN'!L121</f>
        <v>0</v>
      </c>
    </row>
    <row r="113" spans="3:6" ht="13.8" hidden="1">
      <c r="C113" s="1902" t="s">
        <v>4157</v>
      </c>
      <c r="D113" s="1903" t="s">
        <v>4158</v>
      </c>
      <c r="E113" s="1889" t="s">
        <v>36</v>
      </c>
      <c r="F113" s="1895">
        <f>+'VAL AMP 4 PN'!L122</f>
        <v>0</v>
      </c>
    </row>
    <row r="114" spans="3:6" ht="13.8" hidden="1">
      <c r="C114" s="1902" t="s">
        <v>4159</v>
      </c>
      <c r="D114" s="1903" t="s">
        <v>4160</v>
      </c>
      <c r="E114" s="1889" t="s">
        <v>36</v>
      </c>
      <c r="F114" s="1895">
        <f>+'VAL AMP 4 PN'!L123</f>
        <v>0</v>
      </c>
    </row>
    <row r="115" spans="3:6" ht="13.8" hidden="1">
      <c r="C115" s="1902" t="s">
        <v>4161</v>
      </c>
      <c r="D115" s="1903" t="s">
        <v>4162</v>
      </c>
      <c r="E115" s="1889" t="s">
        <v>36</v>
      </c>
      <c r="F115" s="1895">
        <f>+'VAL AMP 4 PN'!L124</f>
        <v>0</v>
      </c>
    </row>
    <row r="116" spans="3:6" ht="13.8" hidden="1">
      <c r="C116" s="1902" t="s">
        <v>4163</v>
      </c>
      <c r="D116" s="1903" t="s">
        <v>4164</v>
      </c>
      <c r="E116" s="1889" t="s">
        <v>38</v>
      </c>
      <c r="F116" s="1895">
        <f>+'VAL AMP 4 PN'!L125</f>
        <v>0</v>
      </c>
    </row>
    <row r="117" spans="3:6" ht="13.8" hidden="1">
      <c r="C117" s="1902" t="s">
        <v>4165</v>
      </c>
      <c r="D117" s="1903" t="s">
        <v>4166</v>
      </c>
      <c r="E117" s="1889" t="s">
        <v>36</v>
      </c>
      <c r="F117" s="1895">
        <f>+'VAL AMP 4 PN'!L126</f>
        <v>0</v>
      </c>
    </row>
    <row r="118" spans="3:6" ht="13.8" hidden="1">
      <c r="C118" s="1902" t="s">
        <v>4167</v>
      </c>
      <c r="D118" s="1903" t="s">
        <v>4145</v>
      </c>
      <c r="E118" s="1889" t="s">
        <v>38</v>
      </c>
      <c r="F118" s="1895">
        <f>+'VAL AMP 4 PN'!L127</f>
        <v>0</v>
      </c>
    </row>
    <row r="119" spans="3:6" ht="13.8" hidden="1">
      <c r="C119" s="1902" t="s">
        <v>4168</v>
      </c>
      <c r="D119" s="1903" t="s">
        <v>4029</v>
      </c>
      <c r="E119" s="1889"/>
      <c r="F119" s="1895">
        <f>+'VAL AMP 4 PN'!L128</f>
        <v>0</v>
      </c>
    </row>
    <row r="120" spans="3:6" ht="13.8" hidden="1">
      <c r="C120" s="1902" t="s">
        <v>4169</v>
      </c>
      <c r="D120" s="1903" t="s">
        <v>4170</v>
      </c>
      <c r="E120" s="1889" t="s">
        <v>36</v>
      </c>
      <c r="F120" s="1895">
        <f>+'VAL AMP 4 PN'!L129</f>
        <v>0</v>
      </c>
    </row>
    <row r="121" spans="3:6" ht="13.8" hidden="1">
      <c r="C121" s="1904" t="s">
        <v>4171</v>
      </c>
      <c r="D121" s="1905" t="s">
        <v>4172</v>
      </c>
      <c r="E121" s="1889"/>
      <c r="F121" s="1895">
        <f>+'VAL AMP 4 PN'!L130</f>
        <v>0</v>
      </c>
    </row>
    <row r="122" spans="3:6" ht="13.8" hidden="1">
      <c r="C122" s="1902" t="s">
        <v>4173</v>
      </c>
      <c r="D122" s="1903" t="s">
        <v>4174</v>
      </c>
      <c r="E122" s="1889" t="s">
        <v>36</v>
      </c>
      <c r="F122" s="1895">
        <f>+'VAL AMP 4 PN'!L131</f>
        <v>0</v>
      </c>
    </row>
    <row r="123" spans="3:6" ht="13.8" hidden="1">
      <c r="C123" s="1902" t="s">
        <v>4175</v>
      </c>
      <c r="D123" s="1903" t="s">
        <v>4176</v>
      </c>
      <c r="E123" s="1889" t="s">
        <v>36</v>
      </c>
      <c r="F123" s="1895">
        <f>+'VAL AMP 4 PN'!L132</f>
        <v>0</v>
      </c>
    </row>
    <row r="124" spans="3:6" ht="13.8" hidden="1">
      <c r="C124" s="1902" t="s">
        <v>4177</v>
      </c>
      <c r="D124" s="1903" t="s">
        <v>4178</v>
      </c>
      <c r="E124" s="1889" t="s">
        <v>36</v>
      </c>
      <c r="F124" s="1895">
        <f>+'VAL AMP 4 PN'!L133</f>
        <v>0</v>
      </c>
    </row>
    <row r="125" spans="3:6" ht="13.8" hidden="1">
      <c r="C125" s="1902" t="s">
        <v>4179</v>
      </c>
      <c r="D125" s="1903" t="s">
        <v>4180</v>
      </c>
      <c r="E125" s="1889" t="s">
        <v>38</v>
      </c>
      <c r="F125" s="1895">
        <f>+'VAL AMP 4 PN'!L134</f>
        <v>0</v>
      </c>
    </row>
    <row r="126" spans="3:6" ht="13.8" hidden="1">
      <c r="C126" s="1902" t="s">
        <v>4181</v>
      </c>
      <c r="D126" s="1903" t="s">
        <v>4145</v>
      </c>
      <c r="E126" s="1889" t="s">
        <v>38</v>
      </c>
      <c r="F126" s="1895">
        <f>+'VAL AMP 4 PN'!L135</f>
        <v>0</v>
      </c>
    </row>
    <row r="127" spans="3:6" ht="13.8" hidden="1">
      <c r="C127" s="1906" t="s">
        <v>4182</v>
      </c>
      <c r="D127" s="1907" t="s">
        <v>4029</v>
      </c>
      <c r="E127" s="1889"/>
      <c r="F127" s="1895">
        <f>+'VAL AMP 4 PN'!L136</f>
        <v>0</v>
      </c>
    </row>
    <row r="128" spans="3:6" ht="13.8" hidden="1">
      <c r="C128" s="1902" t="s">
        <v>4183</v>
      </c>
      <c r="D128" s="1903" t="s">
        <v>4184</v>
      </c>
      <c r="E128" s="1889" t="s">
        <v>36</v>
      </c>
      <c r="F128" s="1895">
        <f>+'VAL AMP 4 PN'!L137</f>
        <v>0</v>
      </c>
    </row>
    <row r="129" spans="3:6" ht="13.8" hidden="1">
      <c r="C129" s="1902" t="s">
        <v>4185</v>
      </c>
      <c r="D129" s="1903" t="s">
        <v>4186</v>
      </c>
      <c r="E129" s="1889" t="s">
        <v>38</v>
      </c>
      <c r="F129" s="1895">
        <f>+'VAL AMP 4 PN'!L138</f>
        <v>0</v>
      </c>
    </row>
    <row r="130" spans="3:6" ht="13.8" hidden="1">
      <c r="C130" s="1904" t="s">
        <v>4187</v>
      </c>
      <c r="D130" s="1905" t="s">
        <v>4188</v>
      </c>
      <c r="E130" s="1889"/>
      <c r="F130" s="1895">
        <f>+'VAL AMP 4 PN'!L139</f>
        <v>0</v>
      </c>
    </row>
    <row r="131" spans="3:6" ht="13.8" hidden="1">
      <c r="C131" s="1902" t="s">
        <v>4189</v>
      </c>
      <c r="D131" s="1903" t="s">
        <v>4190</v>
      </c>
      <c r="E131" s="1889" t="s">
        <v>36</v>
      </c>
      <c r="F131" s="1895">
        <f>+'VAL AMP 4 PN'!L140</f>
        <v>0</v>
      </c>
    </row>
    <row r="132" spans="3:6" ht="13.8" hidden="1">
      <c r="C132" s="1902" t="s">
        <v>4191</v>
      </c>
      <c r="D132" s="1903" t="s">
        <v>4192</v>
      </c>
      <c r="E132" s="1889" t="s">
        <v>36</v>
      </c>
      <c r="F132" s="1895">
        <f>+'VAL AMP 4 PN'!L141</f>
        <v>0</v>
      </c>
    </row>
    <row r="133" spans="3:6" ht="13.8" hidden="1">
      <c r="C133" s="1902" t="s">
        <v>4193</v>
      </c>
      <c r="D133" s="1903" t="s">
        <v>4194</v>
      </c>
      <c r="E133" s="1889" t="s">
        <v>36</v>
      </c>
      <c r="F133" s="1895">
        <f>+'VAL AMP 4 PN'!L142</f>
        <v>0</v>
      </c>
    </row>
    <row r="134" spans="3:6" ht="13.8" hidden="1">
      <c r="C134" s="1902" t="s">
        <v>4195</v>
      </c>
      <c r="D134" s="1903" t="s">
        <v>4196</v>
      </c>
      <c r="E134" s="1889" t="s">
        <v>38</v>
      </c>
      <c r="F134" s="1895">
        <f>+'VAL AMP 4 PN'!L143</f>
        <v>0</v>
      </c>
    </row>
    <row r="135" spans="3:6" ht="13.8" hidden="1">
      <c r="C135" s="1902" t="s">
        <v>4197</v>
      </c>
      <c r="D135" s="1903" t="s">
        <v>4198</v>
      </c>
      <c r="E135" s="1889" t="s">
        <v>38</v>
      </c>
      <c r="F135" s="1895">
        <f>+'VAL AMP 4 PN'!L144</f>
        <v>0</v>
      </c>
    </row>
    <row r="136" spans="3:6" ht="13.8" hidden="1">
      <c r="C136" s="1906" t="s">
        <v>4199</v>
      </c>
      <c r="D136" s="1907" t="s">
        <v>4029</v>
      </c>
      <c r="E136" s="1889"/>
      <c r="F136" s="1895">
        <f>+'VAL AMP 4 PN'!L145</f>
        <v>0</v>
      </c>
    </row>
    <row r="137" spans="3:6" ht="13.8" hidden="1">
      <c r="C137" s="1902" t="s">
        <v>4200</v>
      </c>
      <c r="D137" s="1903" t="s">
        <v>4201</v>
      </c>
      <c r="E137" s="1889" t="s">
        <v>36</v>
      </c>
      <c r="F137" s="1895">
        <f>+'VAL AMP 4 PN'!L146</f>
        <v>0</v>
      </c>
    </row>
    <row r="138" spans="3:6" ht="13.8" hidden="1">
      <c r="C138" s="1887" t="s">
        <v>551</v>
      </c>
      <c r="D138" s="1888" t="s">
        <v>3137</v>
      </c>
      <c r="E138" s="1889"/>
      <c r="F138" s="1895">
        <f>+'VAL AMP 4 PN'!L147</f>
        <v>0</v>
      </c>
    </row>
    <row r="139" spans="3:6" ht="13.8" hidden="1">
      <c r="C139" s="1902" t="s">
        <v>552</v>
      </c>
      <c r="D139" s="1903" t="s">
        <v>4202</v>
      </c>
      <c r="E139" s="1889" t="s">
        <v>37</v>
      </c>
      <c r="F139" s="1895">
        <f>+'VAL AMP 4 PN'!L148</f>
        <v>0</v>
      </c>
    </row>
    <row r="140" spans="3:6" ht="13.8" hidden="1">
      <c r="C140" s="1887" t="s">
        <v>4203</v>
      </c>
      <c r="D140" s="1888" t="s">
        <v>4204</v>
      </c>
      <c r="E140" s="1889"/>
      <c r="F140" s="1895">
        <f>+'VAL AMP 4 PN'!L149</f>
        <v>0</v>
      </c>
    </row>
    <row r="141" spans="3:6" ht="13.8" hidden="1">
      <c r="C141" s="1902" t="s">
        <v>2285</v>
      </c>
      <c r="D141" s="1903" t="s">
        <v>4205</v>
      </c>
      <c r="E141" s="1889" t="s">
        <v>41</v>
      </c>
      <c r="F141" s="1895">
        <f>+'VAL AMP 4 PN'!L150</f>
        <v>0</v>
      </c>
    </row>
    <row r="142" spans="3:6" ht="13.8">
      <c r="C142" s="1908" t="s">
        <v>42</v>
      </c>
      <c r="D142" s="1909" t="s">
        <v>1234</v>
      </c>
      <c r="E142" s="1889"/>
      <c r="F142" s="1895"/>
    </row>
    <row r="143" spans="3:6" ht="13.8" hidden="1">
      <c r="C143" s="1887" t="s">
        <v>43</v>
      </c>
      <c r="D143" s="1888" t="s">
        <v>3073</v>
      </c>
      <c r="E143" s="1889"/>
      <c r="F143" s="1895"/>
    </row>
    <row r="144" spans="3:6" ht="13.8" hidden="1">
      <c r="C144" s="1902" t="s">
        <v>53</v>
      </c>
      <c r="D144" s="1903" t="s">
        <v>4206</v>
      </c>
      <c r="E144" s="1889" t="s">
        <v>37</v>
      </c>
      <c r="F144" s="1895">
        <f>+'VAL AMP 4 PN'!L153</f>
        <v>0</v>
      </c>
    </row>
    <row r="145" spans="3:6" ht="13.8">
      <c r="C145" s="1887" t="s">
        <v>44</v>
      </c>
      <c r="D145" s="1888" t="s">
        <v>3104</v>
      </c>
      <c r="E145" s="1889"/>
      <c r="F145" s="1895"/>
    </row>
    <row r="146" spans="3:6" ht="13.8">
      <c r="C146" s="1902" t="s">
        <v>54</v>
      </c>
      <c r="D146" s="1903" t="s">
        <v>4207</v>
      </c>
      <c r="E146" s="1889" t="s">
        <v>37</v>
      </c>
      <c r="F146" s="1895">
        <f>+'VAL AMP 4 PN'!L155</f>
        <v>361</v>
      </c>
    </row>
    <row r="147" spans="3:6" ht="13.8">
      <c r="C147" s="1902" t="s">
        <v>55</v>
      </c>
      <c r="D147" s="1903" t="s">
        <v>4208</v>
      </c>
      <c r="E147" s="1889" t="s">
        <v>37</v>
      </c>
      <c r="F147" s="1895">
        <f>+'VAL AMP 4 PN'!L156</f>
        <v>290.39000000000004</v>
      </c>
    </row>
    <row r="148" spans="3:6" ht="13.8">
      <c r="C148" s="1887" t="s">
        <v>52</v>
      </c>
      <c r="D148" s="1888" t="s">
        <v>3107</v>
      </c>
      <c r="E148" s="1889"/>
      <c r="F148" s="1895"/>
    </row>
    <row r="149" spans="3:6" ht="13.8" hidden="1">
      <c r="C149" s="1902" t="s">
        <v>56</v>
      </c>
      <c r="D149" s="1903" t="s">
        <v>4209</v>
      </c>
      <c r="E149" s="1889" t="s">
        <v>37</v>
      </c>
      <c r="F149" s="1895">
        <f>+'VAL AMP 4 PN'!L158</f>
        <v>0</v>
      </c>
    </row>
    <row r="150" spans="3:6" ht="13.8" hidden="1">
      <c r="C150" s="1902" t="s">
        <v>57</v>
      </c>
      <c r="D150" s="1903" t="s">
        <v>4210</v>
      </c>
      <c r="E150" s="1889" t="s">
        <v>37</v>
      </c>
      <c r="F150" s="1895">
        <f>+'VAL AMP 4 PN'!L159</f>
        <v>0</v>
      </c>
    </row>
    <row r="151" spans="3:6" ht="13.8">
      <c r="C151" s="1902" t="s">
        <v>661</v>
      </c>
      <c r="D151" s="1903" t="s">
        <v>4211</v>
      </c>
      <c r="E151" s="1889" t="s">
        <v>37</v>
      </c>
      <c r="F151" s="1895">
        <f>+'VAL AMP 4 PN'!L160</f>
        <v>1285.7199999999998</v>
      </c>
    </row>
    <row r="152" spans="3:6" ht="13.8" hidden="1">
      <c r="C152" s="1902" t="s">
        <v>690</v>
      </c>
      <c r="D152" s="1903" t="s">
        <v>4212</v>
      </c>
      <c r="E152" s="1889" t="s">
        <v>37</v>
      </c>
      <c r="F152" s="1895">
        <f>+'VAL AMP 4 PN'!L161</f>
        <v>0</v>
      </c>
    </row>
    <row r="153" spans="3:6" ht="13.8">
      <c r="C153" s="1902" t="s">
        <v>692</v>
      </c>
      <c r="D153" s="1903" t="s">
        <v>4213</v>
      </c>
      <c r="E153" s="1889" t="s">
        <v>38</v>
      </c>
      <c r="F153" s="1895">
        <f>+'VAL AMP 4 PN'!L162</f>
        <v>475.57</v>
      </c>
    </row>
    <row r="154" spans="3:6" ht="13.8">
      <c r="C154" s="1887" t="s">
        <v>516</v>
      </c>
      <c r="D154" s="1888" t="s">
        <v>3129</v>
      </c>
      <c r="E154" s="1889"/>
      <c r="F154" s="1895"/>
    </row>
    <row r="155" spans="3:6" ht="13.8">
      <c r="C155" s="1904" t="s">
        <v>517</v>
      </c>
      <c r="D155" s="1905" t="s">
        <v>3130</v>
      </c>
      <c r="E155" s="1889"/>
      <c r="F155" s="1895"/>
    </row>
    <row r="156" spans="3:6" ht="13.8">
      <c r="C156" s="1902" t="s">
        <v>695</v>
      </c>
      <c r="D156" s="1903" t="s">
        <v>3835</v>
      </c>
      <c r="E156" s="1889" t="s">
        <v>37</v>
      </c>
      <c r="F156" s="1895">
        <f>+'VAL AMP 4 PN'!L165</f>
        <v>340.85700000000003</v>
      </c>
    </row>
    <row r="157" spans="3:6" ht="13.8">
      <c r="C157" s="1904" t="s">
        <v>701</v>
      </c>
      <c r="D157" s="1905" t="s">
        <v>3134</v>
      </c>
      <c r="E157" s="1889"/>
      <c r="F157" s="1895"/>
    </row>
    <row r="158" spans="3:6" ht="13.8" hidden="1">
      <c r="C158" s="1902" t="s">
        <v>702</v>
      </c>
      <c r="D158" s="1903" t="s">
        <v>4214</v>
      </c>
      <c r="E158" s="1889" t="s">
        <v>38</v>
      </c>
      <c r="F158" s="1895">
        <f>+'VAL AMP 4 PN'!L167</f>
        <v>0</v>
      </c>
    </row>
    <row r="159" spans="3:6" ht="13.8" hidden="1">
      <c r="C159" s="1902" t="s">
        <v>703</v>
      </c>
      <c r="D159" s="1903" t="s">
        <v>4215</v>
      </c>
      <c r="E159" s="1889" t="s">
        <v>38</v>
      </c>
      <c r="F159" s="1895">
        <f>+'VAL AMP 4 PN'!L168</f>
        <v>0</v>
      </c>
    </row>
    <row r="160" spans="3:6" ht="13.8">
      <c r="C160" s="1902" t="s">
        <v>704</v>
      </c>
      <c r="D160" s="1903" t="s">
        <v>4216</v>
      </c>
      <c r="E160" s="1889" t="s">
        <v>38</v>
      </c>
      <c r="F160" s="1895">
        <f>+'VAL AMP 4 PN'!L169</f>
        <v>297.31</v>
      </c>
    </row>
    <row r="161" spans="3:6" ht="13.8" hidden="1">
      <c r="C161" s="1887" t="s">
        <v>742</v>
      </c>
      <c r="D161" s="1888" t="s">
        <v>3838</v>
      </c>
      <c r="E161" s="1889"/>
      <c r="F161" s="1895"/>
    </row>
    <row r="162" spans="3:6" ht="13.8" hidden="1">
      <c r="C162" s="1904" t="s">
        <v>743</v>
      </c>
      <c r="D162" s="1905" t="s">
        <v>4217</v>
      </c>
      <c r="E162" s="1889"/>
      <c r="F162" s="1895"/>
    </row>
    <row r="163" spans="3:6" ht="13.8" hidden="1">
      <c r="C163" s="1902" t="s">
        <v>744</v>
      </c>
      <c r="D163" s="1903" t="s">
        <v>4218</v>
      </c>
      <c r="E163" s="1889" t="s">
        <v>37</v>
      </c>
      <c r="F163" s="1895">
        <f>+'VAL AMP 4 PN'!L172</f>
        <v>0</v>
      </c>
    </row>
    <row r="164" spans="3:6" ht="13.8" hidden="1">
      <c r="C164" s="1910" t="s">
        <v>745</v>
      </c>
      <c r="D164" s="1911" t="s">
        <v>4219</v>
      </c>
      <c r="E164" s="1889" t="s">
        <v>37</v>
      </c>
      <c r="F164" s="1895">
        <f>+'VAL AMP 4 PN'!L173</f>
        <v>0</v>
      </c>
    </row>
    <row r="165" spans="3:6" ht="13.8" hidden="1">
      <c r="C165" s="1904" t="s">
        <v>746</v>
      </c>
      <c r="D165" s="1905" t="s">
        <v>3157</v>
      </c>
      <c r="E165" s="1889"/>
      <c r="F165" s="1895">
        <f>+'VAL AMP 4 PN'!L174</f>
        <v>0</v>
      </c>
    </row>
    <row r="166" spans="3:6" ht="13.8" hidden="1">
      <c r="C166" s="1902" t="s">
        <v>747</v>
      </c>
      <c r="D166" s="1903" t="s">
        <v>4220</v>
      </c>
      <c r="E166" s="1889" t="s">
        <v>38</v>
      </c>
      <c r="F166" s="1895">
        <f>+'VAL AMP 4 PN'!L175</f>
        <v>0</v>
      </c>
    </row>
    <row r="167" spans="3:6" ht="13.8">
      <c r="C167" s="1887" t="s">
        <v>763</v>
      </c>
      <c r="D167" s="1888" t="s">
        <v>3191</v>
      </c>
      <c r="E167" s="1889"/>
      <c r="F167" s="1895"/>
    </row>
    <row r="168" spans="3:6" ht="13.8">
      <c r="C168" s="1902" t="s">
        <v>764</v>
      </c>
      <c r="D168" s="1903" t="s">
        <v>4221</v>
      </c>
      <c r="E168" s="1889" t="s">
        <v>37</v>
      </c>
      <c r="F168" s="1895">
        <f>+'VAL AMP 4 PN'!L177</f>
        <v>85.98</v>
      </c>
    </row>
    <row r="169" spans="3:6" ht="13.8">
      <c r="C169" s="1902" t="s">
        <v>767</v>
      </c>
      <c r="D169" s="1903" t="s">
        <v>4222</v>
      </c>
      <c r="E169" s="1889" t="s">
        <v>37</v>
      </c>
      <c r="F169" s="1895">
        <f>+'VAL AMP 4 PN'!L178</f>
        <v>32.004750000000001</v>
      </c>
    </row>
    <row r="170" spans="3:6" ht="13.8">
      <c r="C170" s="1902" t="s">
        <v>771</v>
      </c>
      <c r="D170" s="1903" t="s">
        <v>4223</v>
      </c>
      <c r="E170" s="1889" t="s">
        <v>37</v>
      </c>
      <c r="F170" s="1895">
        <f>+'VAL AMP 4 PN'!L179</f>
        <v>76.392999999999972</v>
      </c>
    </row>
    <row r="171" spans="3:6" ht="13.8">
      <c r="C171" s="1902" t="s">
        <v>3836</v>
      </c>
      <c r="D171" s="1903" t="s">
        <v>4224</v>
      </c>
      <c r="E171" s="1889" t="s">
        <v>37</v>
      </c>
      <c r="F171" s="1895">
        <f>+'VAL AMP 4 PN'!L180</f>
        <v>72.079650000000001</v>
      </c>
    </row>
    <row r="172" spans="3:6" ht="13.8">
      <c r="C172" s="1902" t="s">
        <v>4225</v>
      </c>
      <c r="D172" s="1903" t="s">
        <v>4226</v>
      </c>
      <c r="E172" s="1889" t="s">
        <v>37</v>
      </c>
      <c r="F172" s="1895">
        <f>+'VAL AMP 4 PN'!L181</f>
        <v>34.094100000000005</v>
      </c>
    </row>
    <row r="173" spans="3:6" ht="13.8" hidden="1">
      <c r="C173" s="1902" t="s">
        <v>4227</v>
      </c>
      <c r="D173" s="1903" t="s">
        <v>4228</v>
      </c>
      <c r="E173" s="1889" t="s">
        <v>37</v>
      </c>
      <c r="F173" s="1895">
        <f>+'VAL AMP 4 PN'!L182</f>
        <v>0</v>
      </c>
    </row>
    <row r="174" spans="3:6" ht="13.8" hidden="1">
      <c r="C174" s="1902" t="s">
        <v>4229</v>
      </c>
      <c r="D174" s="1903" t="s">
        <v>4230</v>
      </c>
      <c r="E174" s="1889" t="s">
        <v>37</v>
      </c>
      <c r="F174" s="1895">
        <f>+'VAL AMP 4 PN'!L183</f>
        <v>0</v>
      </c>
    </row>
    <row r="175" spans="3:6" ht="13.8" hidden="1">
      <c r="C175" s="1902" t="s">
        <v>4231</v>
      </c>
      <c r="D175" s="1903" t="s">
        <v>4232</v>
      </c>
      <c r="E175" s="1889" t="s">
        <v>37</v>
      </c>
      <c r="F175" s="1895">
        <f>+'VAL AMP 4 PN'!L184</f>
        <v>0</v>
      </c>
    </row>
    <row r="176" spans="3:6" ht="13.8" hidden="1">
      <c r="C176" s="1887" t="s">
        <v>774</v>
      </c>
      <c r="D176" s="1888" t="s">
        <v>3070</v>
      </c>
      <c r="E176" s="1889"/>
      <c r="F176" s="1895">
        <f>+'VAL AMP 4 PN'!L185</f>
        <v>0</v>
      </c>
    </row>
    <row r="177" spans="3:6" ht="13.8" hidden="1">
      <c r="C177" s="1902" t="s">
        <v>775</v>
      </c>
      <c r="D177" s="1903" t="s">
        <v>4233</v>
      </c>
      <c r="E177" s="1889" t="s">
        <v>36</v>
      </c>
      <c r="F177" s="1895">
        <f>+'VAL AMP 4 PN'!L186</f>
        <v>0</v>
      </c>
    </row>
    <row r="178" spans="3:6" ht="13.8" hidden="1">
      <c r="C178" s="1902" t="s">
        <v>778</v>
      </c>
      <c r="D178" s="1903" t="s">
        <v>4234</v>
      </c>
      <c r="E178" s="1889" t="s">
        <v>36</v>
      </c>
      <c r="F178" s="1895">
        <f>+'VAL AMP 4 PN'!L187</f>
        <v>0</v>
      </c>
    </row>
    <row r="179" spans="3:6" ht="13.8" hidden="1">
      <c r="C179" s="1902" t="s">
        <v>3840</v>
      </c>
      <c r="D179" s="1903" t="s">
        <v>4235</v>
      </c>
      <c r="E179" s="1889" t="s">
        <v>36</v>
      </c>
      <c r="F179" s="1895">
        <f>+'VAL AMP 4 PN'!L188</f>
        <v>0</v>
      </c>
    </row>
    <row r="180" spans="3:6" ht="13.8" hidden="1">
      <c r="C180" s="1887" t="s">
        <v>781</v>
      </c>
      <c r="D180" s="1888" t="s">
        <v>4236</v>
      </c>
      <c r="E180" s="1889"/>
      <c r="F180" s="1895">
        <f>+'VAL AMP 4 PN'!L189</f>
        <v>0</v>
      </c>
    </row>
    <row r="181" spans="3:6" ht="14.4" hidden="1" thickBot="1">
      <c r="C181" s="1912" t="s">
        <v>782</v>
      </c>
      <c r="D181" s="1913" t="s">
        <v>4237</v>
      </c>
      <c r="E181" s="1914" t="s">
        <v>36</v>
      </c>
      <c r="F181" s="1895">
        <f>+'VAL AMP 4 PN'!L190</f>
        <v>0</v>
      </c>
    </row>
    <row r="183" spans="3:6" ht="14.4">
      <c r="C183" s="1464" t="s">
        <v>4371</v>
      </c>
      <c r="D183" s="1455"/>
    </row>
    <row r="184" spans="3:6" ht="13.8" thickBot="1"/>
    <row r="185" spans="3:6">
      <c r="C185" s="2869" t="s">
        <v>20</v>
      </c>
      <c r="D185" s="2869" t="s">
        <v>21</v>
      </c>
      <c r="E185" s="2869" t="s">
        <v>4339</v>
      </c>
      <c r="F185" s="2869" t="s">
        <v>4354</v>
      </c>
    </row>
    <row r="186" spans="3:6">
      <c r="C186" s="2870"/>
      <c r="D186" s="2870"/>
      <c r="E186" s="2870"/>
      <c r="F186" s="2870"/>
    </row>
    <row r="187" spans="3:6">
      <c r="C187" s="2870"/>
      <c r="D187" s="2870"/>
      <c r="E187" s="2870"/>
      <c r="F187" s="2870"/>
    </row>
    <row r="188" spans="3:6" ht="13.8" thickBot="1">
      <c r="C188" s="2871"/>
      <c r="D188" s="2871"/>
      <c r="E188" s="2871"/>
      <c r="F188" s="2871"/>
    </row>
    <row r="189" spans="3:6" ht="13.8">
      <c r="C189" s="2323" t="str">
        <f>+'VAL AMP 3'!B51</f>
        <v>03</v>
      </c>
      <c r="D189" s="2322" t="str">
        <f>+'VAL AMP 3'!C51</f>
        <v>INSTALACIONES ELECTRICAS</v>
      </c>
      <c r="E189" s="1889"/>
      <c r="F189" s="2327"/>
    </row>
    <row r="190" spans="3:6" ht="13.8">
      <c r="C190" s="2323" t="str">
        <f>+'VAL AMP 3'!B52</f>
        <v>03.01</v>
      </c>
      <c r="D190" s="2322" t="str">
        <f>+'VAL AMP 3'!C52</f>
        <v xml:space="preserve">   PARARRAYOS</v>
      </c>
      <c r="E190" s="1889"/>
      <c r="F190" s="2327"/>
    </row>
    <row r="191" spans="3:6" ht="13.8">
      <c r="C191" s="1902" t="str">
        <f>+'VAL AMP 3'!B53</f>
        <v>03.01.01</v>
      </c>
      <c r="D191" s="1903" t="str">
        <f>+'VAL AMP 3'!C53</f>
        <v xml:space="preserve">      PARARRAYOS PDC CON DISPOSITIVO DE CEBADO NO RADIOACTIVO R=100M.</v>
      </c>
      <c r="E191" s="2324" t="str">
        <f>+'VAL AMP 3'!D53</f>
        <v>jgo</v>
      </c>
      <c r="F191" s="2327">
        <f>+'VAL AMP 3'!L53</f>
        <v>0</v>
      </c>
    </row>
    <row r="192" spans="3:6" ht="14.4" thickBot="1">
      <c r="C192" s="1912"/>
      <c r="D192" s="1913"/>
      <c r="E192" s="2328"/>
      <c r="F192" s="2329"/>
    </row>
    <row r="194" spans="3:8" ht="13.2" customHeight="1">
      <c r="C194" s="2873" t="s">
        <v>4375</v>
      </c>
      <c r="D194" s="2873"/>
      <c r="E194" s="2873"/>
      <c r="F194" s="2873"/>
    </row>
    <row r="196" spans="3:8" ht="13.2" customHeight="1">
      <c r="C196" s="2872" t="s">
        <v>4378</v>
      </c>
      <c r="D196" s="2872"/>
      <c r="E196" s="2872"/>
      <c r="F196" s="2872"/>
    </row>
    <row r="197" spans="3:8" ht="13.2" customHeight="1">
      <c r="C197" s="2872"/>
      <c r="D197" s="2872"/>
      <c r="E197" s="2872"/>
      <c r="F197" s="2872"/>
    </row>
    <row r="198" spans="3:8" ht="13.2" customHeight="1">
      <c r="C198" s="2872"/>
      <c r="D198" s="2872"/>
      <c r="E198" s="2872"/>
      <c r="F198" s="2872"/>
    </row>
    <row r="199" spans="3:8" ht="22.8" customHeight="1">
      <c r="C199" s="2872"/>
      <c r="D199" s="2872"/>
      <c r="E199" s="2872"/>
      <c r="F199" s="2872"/>
    </row>
    <row r="200" spans="3:8" ht="13.8" customHeight="1">
      <c r="C200" s="148"/>
      <c r="D200" s="2331" t="s">
        <v>1234</v>
      </c>
      <c r="E200" s="2332"/>
      <c r="F200" s="2332"/>
    </row>
    <row r="201" spans="3:8" ht="13.8">
      <c r="C201" s="2170" t="str">
        <f>+'[31]RESUMEN DE METRADOS '!$C$8</f>
        <v>03.01.02</v>
      </c>
      <c r="D201" s="2170" t="str">
        <f>+'[31]RESUMEN DE METRADOS '!$D$8</f>
        <v>MURO DE LADRILLO KK TIPO IV SOGA, M 1:4, E=1.50 cm</v>
      </c>
      <c r="E201" s="2330" t="str">
        <f>+'[31]RESUMEN DE METRADOS '!$E$8</f>
        <v>m2</v>
      </c>
      <c r="F201" s="1895">
        <f>+'[31]RESUMEN DE METRADOS '!$H$8</f>
        <v>14.930999999999999</v>
      </c>
    </row>
    <row r="202" spans="3:8" ht="13.8">
      <c r="C202" s="2170" t="str">
        <f>+'[31]RESUMEN DE METRADOS '!$C$10</f>
        <v>03.01.04</v>
      </c>
      <c r="D202" s="2170" t="str">
        <f>+'[31]RESUMEN DE METRADOS '!$D$10</f>
        <v>MURO DE LADRILLO CARAVISTA TIPO SOGA, M: 1:4, E=1.5cm</v>
      </c>
      <c r="E202" s="2330" t="str">
        <f>+'[31]RESUMEN DE METRADOS '!$E$10</f>
        <v>m2</v>
      </c>
      <c r="F202" s="1895">
        <f>+'[31]RESUMEN DE METRADOS '!$H$10</f>
        <v>3.4839999999999947</v>
      </c>
    </row>
    <row r="203" spans="3:8" ht="13.8">
      <c r="C203" s="2170" t="str">
        <f>+'[31]RESUMEN DE METRADOS '!$C$15</f>
        <v>03.02.04</v>
      </c>
      <c r="D203" s="2170" t="str">
        <f>+'[31]RESUMEN DE METRADOS '!$D$15</f>
        <v>TARRAJEO DE SUPERFICIE DE COLUMNAS INCL. ARISTAS MEZCLA 1:4 CEMENTO:ARENA</v>
      </c>
      <c r="E203" s="2330" t="str">
        <f>+'[31]RESUMEN DE METRADOS '!$E$15</f>
        <v>m2</v>
      </c>
      <c r="F203" s="1895">
        <f>+'[31]RESUMEN DE METRADOS '!$H$15</f>
        <v>131.98700000000002</v>
      </c>
    </row>
    <row r="204" spans="3:8" ht="13.8">
      <c r="C204" s="2170" t="str">
        <f>+'[31]RESUMEN DE METRADOS '!$C$18</f>
        <v>03.02.17</v>
      </c>
      <c r="D204" s="2170" t="str">
        <f>+'[31]RESUMEN DE METRADOS '!$D$18</f>
        <v>MESA DE CONCRETO CON ACABADO CERAMICO 30x30cm EN SS.HH. E=0.15cm</v>
      </c>
      <c r="E204" s="2330" t="str">
        <f>+'[31]RESUMEN DE METRADOS '!$E$18</f>
        <v>m2</v>
      </c>
      <c r="F204" s="1895">
        <v>0.7</v>
      </c>
    </row>
    <row r="205" spans="3:8" ht="13.8">
      <c r="C205" s="2170" t="str">
        <f>+'[31]RESUMEN DE METRADOS '!$C$21</f>
        <v>03.02.20</v>
      </c>
      <c r="D205" s="2170" t="str">
        <f>+'[31]RESUMEN DE METRADOS '!$D$21</f>
        <v>BRUÑAS DE 1CM ENTRE MUROS Y ESTRUCTURAS</v>
      </c>
      <c r="E205" s="2330" t="str">
        <f>+'[31]RESUMEN DE METRADOS '!$E$21</f>
        <v>m</v>
      </c>
      <c r="F205" s="1895">
        <f>+'[31]RESUMEN DE METRADOS '!$H$21</f>
        <v>97.840000000000032</v>
      </c>
    </row>
    <row r="206" spans="3:8" ht="13.8">
      <c r="C206" s="2170" t="str">
        <f>+'[31]RESUMEN DE METRADOS '!$C$27</f>
        <v>02.02.01</v>
      </c>
      <c r="D206" s="2170" t="str">
        <f>+'[31]RESUMEN DE METRADOS '!$D$27</f>
        <v>CIELO RASO SUSPENDIDO CON SISTEMA DRYWALL PANEL GYPLAC 1/2"</v>
      </c>
      <c r="E206" s="2330" t="str">
        <f>+'[31]RESUMEN DE METRADOS '!$E$27</f>
        <v>m2</v>
      </c>
      <c r="F206" s="1895">
        <v>6.76</v>
      </c>
    </row>
    <row r="207" spans="3:8" ht="13.8">
      <c r="C207" s="2170" t="str">
        <f>+'[31]RESUMEN DE METRADOS '!$C$37</f>
        <v>02.04.02.02</v>
      </c>
      <c r="D207" s="2170" t="str">
        <f>+'[31]RESUMEN DE METRADOS '!$D$37</f>
        <v>CONTRAZOCALO DE CEMENTO PULIDO C/MORTERO 1:5 DE 2CM, H=30CM</v>
      </c>
      <c r="E207" s="2330" t="str">
        <f>+'[31]RESUMEN DE METRADOS '!$E$37</f>
        <v>m2</v>
      </c>
      <c r="F207" s="1895">
        <f>+'[31]RESUMEN DE METRADOS '!$H$37</f>
        <v>6.9</v>
      </c>
    </row>
    <row r="208" spans="3:8" ht="13.8">
      <c r="C208" s="2170" t="str">
        <f>+'[31]RESUMEN DE METRADOS '!$C$52</f>
        <v>03.15.01</v>
      </c>
      <c r="D208" s="2170" t="str">
        <f>+'[31]RESUMEN DE METRADOS '!$D$52</f>
        <v>PODIO DE CONCRETO C:A 1:10 , H= 10 cm</v>
      </c>
      <c r="E208" s="2330" t="str">
        <f>+'[31]RESUMEN DE METRADOS '!$E$52</f>
        <v>m3</v>
      </c>
      <c r="F208" s="1895">
        <f>+'[31]RESUMEN DE METRADOS '!$H$52</f>
        <v>0.98439999999999994</v>
      </c>
      <c r="H208" s="2321">
        <f>+'[31]RESUMEN DE METRADOS '!$M$53</f>
        <v>9093.2233780000024</v>
      </c>
    </row>
    <row r="209" spans="3:8" ht="13.8">
      <c r="C209" s="148"/>
      <c r="D209" s="2331" t="s">
        <v>1327</v>
      </c>
      <c r="E209" s="148"/>
      <c r="F209" s="1895"/>
    </row>
    <row r="210" spans="3:8" ht="13.8">
      <c r="C210" s="2170" t="str">
        <f>+[32]EXP!$B$46</f>
        <v>04.02.01.01</v>
      </c>
      <c r="D210" s="2170" t="str">
        <f>+[32]EXP!$C$46</f>
        <v xml:space="preserve">         SALIDA DE AGUA FRIA CON TUBERÍA DE PVC SAP C-10 Ø 1/2"</v>
      </c>
      <c r="E210" s="2330" t="s">
        <v>1452</v>
      </c>
      <c r="F210" s="1895">
        <v>16</v>
      </c>
    </row>
    <row r="211" spans="3:8" ht="13.8">
      <c r="C211" s="2170" t="str">
        <f>+[32]EXP!$B$60</f>
        <v>04.02.02.01</v>
      </c>
      <c r="D211" s="2170" t="s">
        <v>3273</v>
      </c>
      <c r="E211" s="2330" t="s">
        <v>38</v>
      </c>
      <c r="F211" s="1895">
        <v>66.22999999999999</v>
      </c>
    </row>
    <row r="212" spans="3:8" ht="13.8">
      <c r="C212" s="2170" t="str">
        <f>+[32]EXP!$B$64</f>
        <v>04.02.02.02</v>
      </c>
      <c r="D212" s="2170" t="str">
        <f>+[32]EXP!$C$64</f>
        <v xml:space="preserve">         TUBERIA DE PVC C-10 Ø 3/4" SP</v>
      </c>
      <c r="E212" s="2330" t="s">
        <v>38</v>
      </c>
      <c r="F212" s="1895">
        <v>4.4000000000000004</v>
      </c>
    </row>
    <row r="213" spans="3:8" ht="13.8">
      <c r="C213" s="2170" t="str">
        <f>+[32]EXP!$B$76</f>
        <v>04.02.04.01</v>
      </c>
      <c r="D213" s="1241" t="s">
        <v>3281</v>
      </c>
      <c r="E213" s="2330" t="s">
        <v>36</v>
      </c>
      <c r="F213" s="1895">
        <v>30</v>
      </c>
    </row>
    <row r="214" spans="3:8" ht="13.8">
      <c r="C214" s="2170" t="str">
        <f>+[32]EXP!$B$80</f>
        <v>04.02.04.02</v>
      </c>
      <c r="D214" s="2170" t="str">
        <f>+[32]EXP!$C$80</f>
        <v xml:space="preserve">         CODO DE PVC Ø 3/4" x 90° SP</v>
      </c>
      <c r="E214" s="2330" t="s">
        <v>36</v>
      </c>
      <c r="F214" s="1895">
        <v>1</v>
      </c>
    </row>
    <row r="215" spans="3:8" ht="13.8">
      <c r="C215" s="2170" t="str">
        <f>+[32]EXP!$B$82</f>
        <v>04.02.04.03</v>
      </c>
      <c r="D215" s="2170" t="str">
        <f>+[32]EXP!$C$82</f>
        <v xml:space="preserve">         CODO DE PVC Ø 1" x 90° SP</v>
      </c>
      <c r="E215" s="2330" t="s">
        <v>36</v>
      </c>
      <c r="F215" s="1895">
        <v>19</v>
      </c>
    </row>
    <row r="216" spans="3:8" ht="13.8">
      <c r="C216" s="2170" t="str">
        <f>+[32]EXP!$B$88</f>
        <v>04.02.04.07</v>
      </c>
      <c r="D216" s="2170" t="str">
        <f>+[32]EXP!$C$88</f>
        <v xml:space="preserve">         TEE DE PVC Ø 1/2" SP</v>
      </c>
      <c r="E216" s="2330" t="s">
        <v>36</v>
      </c>
      <c r="F216" s="1895">
        <v>3</v>
      </c>
    </row>
    <row r="217" spans="3:8" ht="13.8">
      <c r="C217" s="2170" t="str">
        <f>+[32]EXP!$B$91</f>
        <v>04.02.04.08</v>
      </c>
      <c r="D217" s="2170" t="str">
        <f>+[32]EXP!$C$91</f>
        <v xml:space="preserve">         TEE DE PVC Ø 3/4" SP</v>
      </c>
      <c r="E217" s="2330" t="s">
        <v>36</v>
      </c>
      <c r="F217" s="1895">
        <v>4</v>
      </c>
    </row>
    <row r="218" spans="3:8" ht="13.8">
      <c r="C218" s="2170" t="str">
        <f>+[32]EXP!$B$97</f>
        <v>04.02.04.12</v>
      </c>
      <c r="D218" s="1241" t="s">
        <v>3292</v>
      </c>
      <c r="E218" s="2330" t="s">
        <v>36</v>
      </c>
      <c r="F218" s="1895">
        <v>9</v>
      </c>
    </row>
    <row r="219" spans="3:8" ht="13.8">
      <c r="C219" s="2170" t="str">
        <f>+[32]EXP!$B$100</f>
        <v>04.02.04.14</v>
      </c>
      <c r="D219" s="1241" t="s">
        <v>3294</v>
      </c>
      <c r="E219" s="2333" t="s">
        <v>36</v>
      </c>
      <c r="F219" s="1895">
        <v>2</v>
      </c>
    </row>
    <row r="220" spans="3:8" ht="13.8">
      <c r="C220" s="2170" t="str">
        <f>+[32]EXP!$B$110</f>
        <v>04.02.05.01</v>
      </c>
      <c r="D220" s="1241" t="s">
        <v>3303</v>
      </c>
      <c r="E220" s="2333" t="s">
        <v>36</v>
      </c>
      <c r="F220" s="1895">
        <v>2</v>
      </c>
    </row>
    <row r="221" spans="3:8" ht="13.8">
      <c r="C221" s="2170" t="str">
        <f>+[32]EXP!$B$114</f>
        <v>04.02.05.03</v>
      </c>
      <c r="D221" s="1241" t="s">
        <v>3305</v>
      </c>
      <c r="E221" s="2333" t="s">
        <v>36</v>
      </c>
      <c r="F221" s="1895">
        <v>2</v>
      </c>
      <c r="H221" s="2321">
        <f>+[32]EXP!$M$317</f>
        <v>4117.414499999999</v>
      </c>
    </row>
    <row r="222" spans="3:8" ht="13.8">
      <c r="C222" s="148"/>
      <c r="D222" s="2331" t="s">
        <v>1383</v>
      </c>
      <c r="E222" s="148"/>
      <c r="F222" s="1895"/>
    </row>
    <row r="223" spans="3:8" ht="13.8">
      <c r="C223" s="148"/>
      <c r="D223" s="2170" t="s">
        <v>3459</v>
      </c>
      <c r="E223" s="2330" t="s">
        <v>38</v>
      </c>
      <c r="F223" s="1895">
        <v>753.53</v>
      </c>
    </row>
    <row r="224" spans="3:8" ht="13.8">
      <c r="C224" s="148"/>
      <c r="D224" s="2170" t="s">
        <v>3460</v>
      </c>
      <c r="E224" s="2330" t="s">
        <v>36</v>
      </c>
      <c r="F224" s="1895">
        <v>463</v>
      </c>
    </row>
    <row r="225" spans="3:8" ht="13.8">
      <c r="C225" s="148"/>
      <c r="D225" s="2170" t="s">
        <v>3461</v>
      </c>
      <c r="E225" s="2330" t="s">
        <v>36</v>
      </c>
      <c r="F225" s="1895">
        <v>882</v>
      </c>
    </row>
    <row r="226" spans="3:8" ht="13.8">
      <c r="C226" s="148"/>
      <c r="D226" s="2170" t="s">
        <v>3483</v>
      </c>
      <c r="E226" s="2330" t="s">
        <v>1452</v>
      </c>
      <c r="F226" s="1895">
        <v>54</v>
      </c>
    </row>
    <row r="227" spans="3:8" ht="13.8">
      <c r="C227" s="148"/>
      <c r="D227" s="2170" t="s">
        <v>3484</v>
      </c>
      <c r="E227" s="2330" t="s">
        <v>1452</v>
      </c>
      <c r="F227" s="1895">
        <v>10</v>
      </c>
    </row>
    <row r="228" spans="3:8" ht="13.8">
      <c r="C228" s="148"/>
      <c r="D228" s="2170" t="s">
        <v>3485</v>
      </c>
      <c r="E228" s="2330" t="s">
        <v>1452</v>
      </c>
      <c r="F228" s="1895">
        <v>4</v>
      </c>
    </row>
    <row r="229" spans="3:8" ht="13.8">
      <c r="C229" s="148"/>
      <c r="D229" s="2170" t="s">
        <v>3488</v>
      </c>
      <c r="E229" s="2330" t="s">
        <v>36</v>
      </c>
      <c r="F229" s="1895">
        <v>5</v>
      </c>
    </row>
    <row r="230" spans="3:8" ht="13.8">
      <c r="C230" s="148"/>
      <c r="D230" s="2170" t="s">
        <v>3459</v>
      </c>
      <c r="E230" s="2330" t="s">
        <v>38</v>
      </c>
      <c r="F230" s="1895">
        <v>244.38000000000011</v>
      </c>
    </row>
    <row r="231" spans="3:8" ht="13.8">
      <c r="C231" s="148"/>
      <c r="D231" s="2170" t="s">
        <v>3460</v>
      </c>
      <c r="E231" s="2330" t="s">
        <v>36</v>
      </c>
      <c r="F231" s="1895">
        <v>500</v>
      </c>
    </row>
    <row r="232" spans="3:8" ht="13.8">
      <c r="C232" s="148"/>
      <c r="D232" s="2170" t="s">
        <v>3466</v>
      </c>
      <c r="E232" s="2330" t="s">
        <v>36</v>
      </c>
      <c r="F232" s="1895">
        <v>11</v>
      </c>
      <c r="H232" s="2321">
        <f>+'[33]VAL. PRINC'!$X$148</f>
        <v>22346.663200000003</v>
      </c>
    </row>
    <row r="233" spans="3:8" ht="13.8">
      <c r="C233" s="148"/>
      <c r="D233" s="2170" t="s">
        <v>3450</v>
      </c>
      <c r="E233" s="2330" t="s">
        <v>38</v>
      </c>
      <c r="F233" s="1895">
        <v>50</v>
      </c>
    </row>
    <row r="234" spans="3:8" ht="13.8">
      <c r="C234" s="148"/>
      <c r="D234" s="2170" t="s">
        <v>3894</v>
      </c>
      <c r="E234" s="2330" t="s">
        <v>36</v>
      </c>
      <c r="F234" s="1895">
        <v>15</v>
      </c>
    </row>
    <row r="235" spans="3:8" ht="13.8">
      <c r="C235" s="148"/>
      <c r="D235" s="2170" t="s">
        <v>3895</v>
      </c>
      <c r="E235" s="2330" t="s">
        <v>36</v>
      </c>
      <c r="F235" s="1895">
        <v>20</v>
      </c>
    </row>
    <row r="236" spans="3:8" ht="13.8">
      <c r="C236" s="148"/>
      <c r="D236" s="2170" t="s">
        <v>3898</v>
      </c>
      <c r="E236" s="2330" t="s">
        <v>3899</v>
      </c>
      <c r="F236" s="1895">
        <v>464</v>
      </c>
    </row>
    <row r="237" spans="3:8" ht="13.8">
      <c r="C237" s="148"/>
      <c r="D237" s="2170" t="s">
        <v>3901</v>
      </c>
      <c r="E237" s="2330" t="s">
        <v>3899</v>
      </c>
      <c r="F237" s="1895">
        <v>461</v>
      </c>
    </row>
    <row r="238" spans="3:8" ht="13.8">
      <c r="C238" s="148"/>
      <c r="D238" s="2170" t="s">
        <v>3904</v>
      </c>
      <c r="E238" s="2330" t="s">
        <v>36</v>
      </c>
      <c r="F238" s="1895">
        <v>468.34</v>
      </c>
    </row>
    <row r="239" spans="3:8" ht="13.8">
      <c r="C239" s="148"/>
      <c r="D239" s="2170" t="s">
        <v>3905</v>
      </c>
      <c r="E239" s="2330" t="s">
        <v>36</v>
      </c>
      <c r="F239" s="1895">
        <v>235</v>
      </c>
    </row>
    <row r="240" spans="3:8" ht="13.8">
      <c r="C240" s="148"/>
      <c r="D240" s="2170" t="s">
        <v>3462</v>
      </c>
      <c r="E240" s="2330" t="s">
        <v>3899</v>
      </c>
      <c r="F240" s="1895">
        <v>536.38</v>
      </c>
    </row>
    <row r="241" spans="3:8" ht="13.8">
      <c r="C241" s="148"/>
      <c r="D241" s="2170" t="s">
        <v>3463</v>
      </c>
      <c r="E241" s="2330" t="s">
        <v>3899</v>
      </c>
      <c r="F241" s="1895">
        <v>268.33999999999997</v>
      </c>
    </row>
    <row r="242" spans="3:8" ht="13.8">
      <c r="C242" s="148"/>
      <c r="D242" s="2170" t="s">
        <v>3465</v>
      </c>
      <c r="E242" s="2330" t="s">
        <v>1452</v>
      </c>
      <c r="F242" s="1895">
        <v>97</v>
      </c>
    </row>
    <row r="243" spans="3:8" ht="13.8">
      <c r="C243" s="148"/>
      <c r="D243" s="2170" t="s">
        <v>3907</v>
      </c>
      <c r="E243" s="2330" t="s">
        <v>36</v>
      </c>
      <c r="F243" s="1895">
        <v>97</v>
      </c>
    </row>
    <row r="244" spans="3:8" ht="13.8">
      <c r="C244" s="148"/>
      <c r="D244" s="2170" t="s">
        <v>3904</v>
      </c>
      <c r="E244" s="2330" t="s">
        <v>36</v>
      </c>
      <c r="F244" s="1895">
        <v>161</v>
      </c>
    </row>
    <row r="245" spans="3:8" ht="13.8">
      <c r="C245" s="148"/>
      <c r="D245" s="2170" t="s">
        <v>3905</v>
      </c>
      <c r="E245" s="2330" t="s">
        <v>36</v>
      </c>
      <c r="F245" s="1895">
        <v>80</v>
      </c>
    </row>
    <row r="246" spans="3:8" ht="13.8">
      <c r="C246" s="148"/>
      <c r="D246" s="2170" t="s">
        <v>3462</v>
      </c>
      <c r="E246" s="2330" t="s">
        <v>3899</v>
      </c>
      <c r="F246" s="1895">
        <v>322</v>
      </c>
    </row>
    <row r="247" spans="3:8" ht="13.8">
      <c r="C247" s="148"/>
      <c r="D247" s="2170" t="s">
        <v>3907</v>
      </c>
      <c r="E247" s="2330" t="s">
        <v>36</v>
      </c>
      <c r="F247" s="1895">
        <v>38</v>
      </c>
    </row>
    <row r="248" spans="3:8" ht="13.8">
      <c r="C248" s="148"/>
      <c r="D248" s="2170" t="s">
        <v>3936</v>
      </c>
      <c r="E248" s="2330" t="s">
        <v>36</v>
      </c>
      <c r="F248" s="1895">
        <v>38</v>
      </c>
      <c r="H248" s="2321">
        <f>+'[33]VAL AMP4 MM'!$P$72</f>
        <v>55202.606599999992</v>
      </c>
    </row>
    <row r="249" spans="3:8" ht="13.8">
      <c r="C249" s="148"/>
      <c r="D249" s="2331" t="s">
        <v>2827</v>
      </c>
      <c r="E249" s="148"/>
      <c r="F249" s="1895"/>
    </row>
    <row r="250" spans="3:8" ht="13.8">
      <c r="C250" s="148"/>
      <c r="D250" s="2170" t="str">
        <f>+[34]Hoja13!$G$15</f>
        <v xml:space="preserve">               RELLENO Y COMPACTADO CON ARENA FINA (0.6m x 0.05m x L)</v>
      </c>
      <c r="E250" s="2330" t="str">
        <f>+[34]Hoja13!$H$15</f>
        <v>m3</v>
      </c>
      <c r="F250" s="1895">
        <f>+[34]Hoja13!$P$15</f>
        <v>2.9699999999999998</v>
      </c>
    </row>
    <row r="251" spans="3:8" ht="13.8">
      <c r="C251" s="148"/>
      <c r="D251" s="2170" t="str">
        <f>+[34]Hoja13!$G$16</f>
        <v xml:space="preserve">               RELLENO Y COMPACTADO CON MATERIAL PROPIO CERNIDO (0.60m x 0.25m x L)</v>
      </c>
      <c r="E251" s="2330" t="str">
        <f>+[34]Hoja13!$H$15</f>
        <v>m3</v>
      </c>
      <c r="F251" s="1895">
        <f>+[34]Hoja13!$P$16</f>
        <v>26.86</v>
      </c>
    </row>
    <row r="252" spans="3:8" ht="13.8">
      <c r="C252" s="148"/>
      <c r="D252" s="2170" t="str">
        <f>+[34]Hoja13!$G$17</f>
        <v xml:space="preserve">               RELLENO Y COMPACTADO CON MATERIAL PROPIO SIN TRATAR (0.60m x 0.30m x L)</v>
      </c>
      <c r="E252" s="2330" t="str">
        <f>+[34]Hoja13!$H$15</f>
        <v>m3</v>
      </c>
      <c r="F252" s="1895">
        <f>+[34]Hoja13!$P$17</f>
        <v>39.83</v>
      </c>
    </row>
    <row r="253" spans="3:8" ht="13.8">
      <c r="C253" s="148"/>
      <c r="D253" s="2170" t="str">
        <f>+[34]Hoja13!$G$17</f>
        <v xml:space="preserve">               RELLENO Y COMPACTADO CON MATERIAL PROPIO SIN TRATAR (0.60m x 0.30m x L)</v>
      </c>
      <c r="E253" s="2330" t="str">
        <f>+[34]Hoja13!$H$15</f>
        <v>m3</v>
      </c>
      <c r="F253" s="1895">
        <f>+[34]Hoja13!$P$18</f>
        <v>0.1399999999999999</v>
      </c>
    </row>
    <row r="254" spans="3:8" ht="13.8">
      <c r="C254" s="148"/>
      <c r="D254" s="2170" t="str">
        <f>+[34]Hoja13!$G$19</f>
        <v xml:space="preserve">               ELIMINACIÓN DE MATERIAL EXCEDENTE</v>
      </c>
      <c r="E254" s="2330" t="str">
        <f>+[34]Hoja13!$H$15</f>
        <v>m3</v>
      </c>
      <c r="F254" s="1895">
        <f>+[34]Hoja13!$P$19</f>
        <v>4.8800000000000008</v>
      </c>
    </row>
    <row r="255" spans="3:8" ht="13.8">
      <c r="C255" s="148"/>
      <c r="D255" s="2170" t="str">
        <f>+[34]Hoja13!$G$23</f>
        <v xml:space="preserve">               CINTA DE SEÑALIZACIÓN RIESGO ELÉCTRICO ENTERRADA (Según detalle)</v>
      </c>
      <c r="E255" s="2330" t="str">
        <f>+[34]Hoja13!$H$23</f>
        <v>m</v>
      </c>
      <c r="F255" s="1895">
        <f>+[34]Hoja13!$P$23</f>
        <v>10.75</v>
      </c>
    </row>
    <row r="256" spans="3:8" ht="13.8">
      <c r="C256" s="148"/>
      <c r="D256" s="2170" t="str">
        <f>+[34]Hoja13!$G$53</f>
        <v xml:space="preserve">         TUBERIA PVC SAP-P Ø 20mm</v>
      </c>
      <c r="E256" s="2330" t="str">
        <f>+[34]Hoja13!$H$53</f>
        <v>m</v>
      </c>
      <c r="F256" s="1895">
        <f>+[34]Hoja13!$P$53</f>
        <v>200</v>
      </c>
    </row>
    <row r="257" spans="3:8" ht="13.8">
      <c r="C257" s="148"/>
      <c r="D257" s="2170" t="str">
        <f>+[34]Hoja13!$G$55</f>
        <v xml:space="preserve">         TUBERIA PVC SAP-P Ø 35mm</v>
      </c>
      <c r="E257" s="2330" t="str">
        <f>+[34]Hoja13!$H$53</f>
        <v>m</v>
      </c>
      <c r="F257" s="1895">
        <f>+[34]Hoja13!$P$55</f>
        <v>11.569999999999993</v>
      </c>
    </row>
    <row r="258" spans="3:8" ht="13.8">
      <c r="C258" s="148"/>
      <c r="D258" s="2170" t="str">
        <f>+[34]Hoja13!$G$57</f>
        <v xml:space="preserve">         SALIDA DE PUNTOS DE RED DE DATOS CAT 6</v>
      </c>
      <c r="E258" s="2330" t="str">
        <f>+[34]Hoja13!$H$57</f>
        <v>pto</v>
      </c>
      <c r="F258" s="1895">
        <f>+[34]Hoja13!$P$57</f>
        <v>3</v>
      </c>
      <c r="H258" s="2321">
        <f>+[34]Hoja13!$Q$113</f>
        <v>3545.8791000000001</v>
      </c>
    </row>
    <row r="262" spans="3:8">
      <c r="H262" s="2321">
        <f>SUM(H190:H258)</f>
        <v>94305.786777999994</v>
      </c>
    </row>
    <row r="263" spans="3:8">
      <c r="H263" s="2321">
        <f>+'VAL. PRINC'!R118</f>
        <v>382815.81000000006</v>
      </c>
    </row>
    <row r="264" spans="3:8">
      <c r="H264" s="2334">
        <f>+H262/H263</f>
        <v>0.24634768030609808</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2"/>
  <sheetViews>
    <sheetView view="pageBreakPreview" topLeftCell="A7" zoomScaleNormal="100" zoomScaleSheetLayoutView="100" workbookViewId="0">
      <selection activeCell="C18" sqref="C18"/>
    </sheetView>
  </sheetViews>
  <sheetFormatPr baseColWidth="10" defaultColWidth="11.44140625" defaultRowHeight="15"/>
  <cols>
    <col min="1" max="1" width="11.5546875" style="2120" customWidth="1"/>
    <col min="2" max="2" width="49" style="1984" customWidth="1"/>
    <col min="3" max="3" width="16" style="2005" customWidth="1"/>
    <col min="4" max="4" width="15.44140625" style="1984" customWidth="1"/>
    <col min="5" max="5" width="9.109375" style="1984" customWidth="1"/>
    <col min="6" max="6" width="14" style="1989" customWidth="1"/>
    <col min="7" max="7" width="8.5546875" style="1984" customWidth="1"/>
    <col min="8" max="8" width="13.88671875" style="1984" customWidth="1"/>
    <col min="9" max="9" width="9" style="1984" customWidth="1"/>
    <col min="10" max="10" width="13.88671875" style="1984" customWidth="1"/>
    <col min="11" max="11" width="10" style="1984" customWidth="1"/>
    <col min="12" max="12" width="1.88671875" style="1984" customWidth="1"/>
    <col min="13" max="13" width="10.44140625" style="1984" customWidth="1"/>
    <col min="14" max="14" width="14.109375" style="1984" customWidth="1"/>
    <col min="15" max="15" width="12.88671875" style="1984" customWidth="1"/>
    <col min="16" max="16" width="12.44140625" style="1984" customWidth="1"/>
    <col min="17" max="17" width="11.44140625" style="1984" customWidth="1"/>
    <col min="18" max="18" width="11.44140625" style="2138" customWidth="1"/>
    <col min="19" max="20" width="11.44140625" style="1984" customWidth="1"/>
    <col min="21" max="16384" width="11.44140625" style="1984"/>
  </cols>
  <sheetData>
    <row r="1" spans="1:18">
      <c r="A1" s="2884"/>
      <c r="B1" s="2884"/>
      <c r="C1" s="2884"/>
      <c r="D1" s="2884"/>
      <c r="E1" s="2884"/>
      <c r="F1" s="2884"/>
      <c r="G1" s="2884"/>
      <c r="H1" s="2884"/>
      <c r="I1" s="2884"/>
      <c r="J1" s="2884"/>
      <c r="K1" s="2884"/>
    </row>
    <row r="2" spans="1:18">
      <c r="A2" s="2885" t="s">
        <v>4290</v>
      </c>
      <c r="B2" s="2885"/>
      <c r="C2" s="2885"/>
      <c r="D2" s="2885"/>
      <c r="E2" s="2885"/>
      <c r="F2" s="2885"/>
      <c r="G2" s="2885"/>
      <c r="H2" s="2885"/>
      <c r="I2" s="2885"/>
      <c r="J2" s="2885"/>
      <c r="K2" s="2885"/>
    </row>
    <row r="3" spans="1:18" ht="16.649999999999999" customHeight="1">
      <c r="A3" s="2885" t="s">
        <v>4374</v>
      </c>
      <c r="B3" s="2885"/>
      <c r="C3" s="2885"/>
      <c r="D3" s="2885"/>
      <c r="E3" s="2885"/>
      <c r="F3" s="2885"/>
      <c r="G3" s="2885"/>
      <c r="H3" s="2885"/>
      <c r="I3" s="2885"/>
      <c r="J3" s="2885"/>
      <c r="K3" s="2885"/>
    </row>
    <row r="4" spans="1:18" ht="19.5" customHeight="1">
      <c r="A4" s="2886" t="s">
        <v>6</v>
      </c>
      <c r="B4" s="2887" t="s">
        <v>2237</v>
      </c>
      <c r="C4" s="2887"/>
      <c r="D4" s="2887"/>
      <c r="E4" s="2887"/>
      <c r="F4" s="2887"/>
      <c r="G4" s="2887"/>
      <c r="H4" s="2887"/>
      <c r="I4" s="2887"/>
      <c r="J4" s="1985"/>
    </row>
    <row r="5" spans="1:18" ht="16.649999999999999" customHeight="1">
      <c r="A5" s="2886"/>
      <c r="B5" s="2887"/>
      <c r="C5" s="2887"/>
      <c r="D5" s="2887"/>
      <c r="E5" s="2887"/>
      <c r="F5" s="2887"/>
      <c r="G5" s="2887"/>
      <c r="H5" s="2887"/>
      <c r="I5" s="2887"/>
      <c r="J5" s="1985"/>
    </row>
    <row r="6" spans="1:18">
      <c r="A6" s="1986" t="s">
        <v>15</v>
      </c>
      <c r="B6" s="1987" t="s">
        <v>4264</v>
      </c>
      <c r="C6" s="1988"/>
      <c r="G6" s="1990"/>
      <c r="J6" s="1985"/>
    </row>
    <row r="7" spans="1:18">
      <c r="A7" s="1986" t="s">
        <v>17</v>
      </c>
      <c r="B7" s="1987" t="s">
        <v>4265</v>
      </c>
      <c r="C7" s="1988"/>
      <c r="D7" s="1988"/>
      <c r="E7" s="1990"/>
      <c r="F7" s="1991"/>
      <c r="G7" s="1990"/>
      <c r="H7" s="1992"/>
      <c r="I7" s="1990"/>
      <c r="J7" s="1990"/>
      <c r="K7" s="1990"/>
    </row>
    <row r="8" spans="1:18" ht="11.4" customHeight="1">
      <c r="A8" s="1993"/>
      <c r="B8" s="1994"/>
      <c r="C8" s="1995"/>
      <c r="D8" s="1996"/>
      <c r="E8" s="1996"/>
      <c r="F8" s="1997"/>
      <c r="G8" s="1996"/>
      <c r="H8" s="1998"/>
      <c r="I8" s="1998"/>
      <c r="J8" s="1998"/>
      <c r="K8" s="1998"/>
    </row>
    <row r="9" spans="1:18">
      <c r="A9" s="1993"/>
      <c r="B9" s="1994"/>
      <c r="C9" s="1995"/>
      <c r="D9" s="1996"/>
      <c r="E9" s="1996"/>
      <c r="F9" s="1997"/>
      <c r="G9" s="1996"/>
      <c r="H9" s="1998"/>
      <c r="I9" s="1998"/>
      <c r="J9" s="1998"/>
      <c r="K9" s="1998"/>
    </row>
    <row r="10" spans="1:18">
      <c r="A10" s="2882" t="s">
        <v>4266</v>
      </c>
      <c r="B10" s="2883" t="s">
        <v>72</v>
      </c>
      <c r="C10" s="2877" t="s">
        <v>23</v>
      </c>
      <c r="D10" s="2879" t="s">
        <v>4267</v>
      </c>
      <c r="E10" s="2879"/>
      <c r="F10" s="2879"/>
      <c r="G10" s="2879"/>
      <c r="H10" s="2879"/>
      <c r="I10" s="2879"/>
      <c r="J10" s="2877" t="s">
        <v>25</v>
      </c>
      <c r="K10" s="2877"/>
    </row>
    <row r="11" spans="1:18">
      <c r="A11" s="2882"/>
      <c r="B11" s="2883"/>
      <c r="C11" s="2877"/>
      <c r="D11" s="2879" t="s">
        <v>26</v>
      </c>
      <c r="E11" s="2879"/>
      <c r="F11" s="2879" t="s">
        <v>27</v>
      </c>
      <c r="G11" s="2879"/>
      <c r="H11" s="2879" t="s">
        <v>28</v>
      </c>
      <c r="I11" s="2879"/>
      <c r="J11" s="2878"/>
      <c r="K11" s="2878"/>
    </row>
    <row r="12" spans="1:18">
      <c r="A12" s="2882"/>
      <c r="B12" s="2883"/>
      <c r="C12" s="2877"/>
      <c r="D12" s="2000" t="s">
        <v>4268</v>
      </c>
      <c r="E12" s="2000" t="s">
        <v>0</v>
      </c>
      <c r="F12" s="2000" t="str">
        <f>+D12</f>
        <v>VALORIZADO</v>
      </c>
      <c r="G12" s="2000" t="s">
        <v>0</v>
      </c>
      <c r="H12" s="2000" t="str">
        <f>+F12</f>
        <v>VALORIZADO</v>
      </c>
      <c r="I12" s="2000" t="s">
        <v>0</v>
      </c>
      <c r="J12" s="2000" t="str">
        <f>+H12</f>
        <v>VALORIZADO</v>
      </c>
      <c r="K12" s="2000" t="s">
        <v>0</v>
      </c>
    </row>
    <row r="13" spans="1:18" ht="15.6" customHeight="1">
      <c r="A13" s="2001">
        <v>1</v>
      </c>
      <c r="B13" s="2002" t="s">
        <v>4269</v>
      </c>
      <c r="C13" s="2003" t="e">
        <f>SUM(C14:C20)</f>
        <v>#REF!</v>
      </c>
      <c r="D13" s="2003" t="e">
        <f>SUM(D14:D20)</f>
        <v>#REF!</v>
      </c>
      <c r="E13" s="2004" t="e">
        <f t="shared" ref="E13:E21" si="0">+D13/C13</f>
        <v>#REF!</v>
      </c>
      <c r="F13" s="2003" t="e">
        <f>SUM(F14:F20)</f>
        <v>#REF!</v>
      </c>
      <c r="G13" s="2004" t="e">
        <f>+$F$13/C13</f>
        <v>#REF!</v>
      </c>
      <c r="H13" s="2003" t="e">
        <f>SUM(H14:H20)</f>
        <v>#REF!</v>
      </c>
      <c r="I13" s="2004" t="e">
        <f>+H13/C13</f>
        <v>#REF!</v>
      </c>
      <c r="J13" s="2003" t="e">
        <f>SUM(J14:J20)</f>
        <v>#REF!</v>
      </c>
      <c r="K13" s="2004" t="e">
        <f>+J13/C13</f>
        <v>#REF!</v>
      </c>
      <c r="M13" s="2005"/>
      <c r="N13" s="2006" t="e">
        <f>+J13+H13</f>
        <v>#REF!</v>
      </c>
      <c r="O13" s="2007" t="e">
        <f>+C13-N13</f>
        <v>#REF!</v>
      </c>
      <c r="P13" s="2132">
        <v>6805604.1507246634</v>
      </c>
      <c r="Q13" s="2006" t="e">
        <f>+P13-D13</f>
        <v>#REF!</v>
      </c>
      <c r="R13" s="2138" t="e">
        <f>+H13+J13-C13</f>
        <v>#REF!</v>
      </c>
    </row>
    <row r="14" spans="1:18" ht="15.6" customHeight="1">
      <c r="A14" s="2009"/>
      <c r="B14" s="2010" t="s">
        <v>1132</v>
      </c>
      <c r="C14" s="2011" t="e">
        <f>+'VAL. PRINC'!#REF!</f>
        <v>#REF!</v>
      </c>
      <c r="D14" s="2011" t="e">
        <f>SUM('VAL. PRINC'!#REF!)</f>
        <v>#REF!</v>
      </c>
      <c r="E14" s="2039" t="e">
        <f t="shared" si="0"/>
        <v>#REF!</v>
      </c>
      <c r="F14" s="2011" t="e">
        <f>SUM('VAL. PRINC'!#REF!)</f>
        <v>#REF!</v>
      </c>
      <c r="G14" s="2039" t="e">
        <f t="shared" ref="G14:G21" si="1">+F14/C14</f>
        <v>#REF!</v>
      </c>
      <c r="H14" s="2011" t="e">
        <f>SUM('VAL. PRINC'!#REF!)</f>
        <v>#REF!</v>
      </c>
      <c r="I14" s="2013" t="e">
        <f>+H14/C14</f>
        <v>#REF!</v>
      </c>
      <c r="J14" s="2011" t="e">
        <f>SUM('VAL. PRINC'!#REF!)</f>
        <v>#REF!</v>
      </c>
      <c r="K14" s="2014" t="e">
        <f>+J14/C14</f>
        <v>#REF!</v>
      </c>
      <c r="L14" s="2006"/>
      <c r="M14" s="2005"/>
      <c r="N14" s="2015"/>
      <c r="O14" s="2007"/>
      <c r="P14" s="2132">
        <v>322833.54325000005</v>
      </c>
      <c r="Q14" s="2006" t="e">
        <f t="shared" ref="Q14:Q41" si="2">+P14-D14</f>
        <v>#REF!</v>
      </c>
      <c r="R14" s="2138" t="e">
        <f>+H14+J14-C14</f>
        <v>#REF!</v>
      </c>
    </row>
    <row r="15" spans="1:18" ht="15.6" customHeight="1">
      <c r="A15" s="2009"/>
      <c r="B15" s="2010" t="s">
        <v>1154</v>
      </c>
      <c r="C15" s="2011" t="e">
        <f>+'VAL. PRINC'!#REF!</f>
        <v>#REF!</v>
      </c>
      <c r="D15" s="2011" t="e">
        <f>SUM('VAL. PRINC'!#REF!)</f>
        <v>#REF!</v>
      </c>
      <c r="E15" s="2039" t="e">
        <f t="shared" si="0"/>
        <v>#REF!</v>
      </c>
      <c r="F15" s="2011" t="e">
        <f>SUM('VAL. PRINC'!#REF!)</f>
        <v>#REF!</v>
      </c>
      <c r="G15" s="2039" t="e">
        <f t="shared" si="1"/>
        <v>#REF!</v>
      </c>
      <c r="H15" s="2011" t="e">
        <f>SUM('VAL. PRINC'!#REF!)</f>
        <v>#REF!</v>
      </c>
      <c r="I15" s="2013" t="e">
        <f>+H15/C15</f>
        <v>#REF!</v>
      </c>
      <c r="J15" s="2011" t="e">
        <f>SUM('VAL. PRINC'!#REF!)+0.06</f>
        <v>#REF!</v>
      </c>
      <c r="K15" s="2014" t="e">
        <f>+J15/C15</f>
        <v>#REF!</v>
      </c>
      <c r="M15" s="2016">
        <f>1300000+1000000</f>
        <v>2300000</v>
      </c>
      <c r="N15" s="2005"/>
      <c r="O15" s="2007"/>
      <c r="P15" s="2132">
        <v>4953015.5347446641</v>
      </c>
      <c r="Q15" s="2006" t="e">
        <f t="shared" si="2"/>
        <v>#REF!</v>
      </c>
      <c r="R15" s="2138" t="e">
        <f>+H15+J15-C15</f>
        <v>#REF!</v>
      </c>
    </row>
    <row r="16" spans="1:18" ht="15.6" customHeight="1">
      <c r="A16" s="2009"/>
      <c r="B16" s="2010" t="s">
        <v>1234</v>
      </c>
      <c r="C16" s="2011" t="e">
        <f>+'VAL. PRINC'!#REF!</f>
        <v>#REF!</v>
      </c>
      <c r="D16" s="2011" t="e">
        <f>SUM('VAL. PRINC'!#REF!)</f>
        <v>#REF!</v>
      </c>
      <c r="E16" s="2039" t="e">
        <f t="shared" si="0"/>
        <v>#REF!</v>
      </c>
      <c r="F16" s="2011" t="e">
        <f>SUM('VAL. PRINC'!#REF!)</f>
        <v>#REF!</v>
      </c>
      <c r="G16" s="2039" t="e">
        <f t="shared" si="1"/>
        <v>#REF!</v>
      </c>
      <c r="H16" s="2011" t="e">
        <f>SUM('VAL. PRINC'!#REF!)</f>
        <v>#REF!</v>
      </c>
      <c r="I16" s="2013" t="e">
        <f t="shared" ref="I16:I20" si="3">+H16/C16</f>
        <v>#REF!</v>
      </c>
      <c r="J16" s="2011" t="e">
        <f>SUM('VAL. PRINC'!#REF!)+0.0037</f>
        <v>#REF!</v>
      </c>
      <c r="K16" s="2014" t="e">
        <f t="shared" ref="K16:K20" si="4">+J16/C16</f>
        <v>#REF!</v>
      </c>
      <c r="M16" s="2005"/>
      <c r="N16" s="2015"/>
      <c r="O16" s="2007"/>
      <c r="P16" s="2132">
        <v>1196166.16713</v>
      </c>
      <c r="Q16" s="2006" t="e">
        <f t="shared" si="2"/>
        <v>#REF!</v>
      </c>
      <c r="R16" s="2138" t="e">
        <f t="shared" ref="R16:R40" si="5">+H16+J16-C16</f>
        <v>#REF!</v>
      </c>
    </row>
    <row r="17" spans="1:18" ht="15.6" customHeight="1">
      <c r="A17" s="2009"/>
      <c r="B17" s="2010" t="s">
        <v>1327</v>
      </c>
      <c r="C17" s="2011" t="e">
        <f>+'VAL. PRINC'!#REF!</f>
        <v>#REF!</v>
      </c>
      <c r="D17" s="2011" t="e">
        <f>SUM('VAL. PRINC'!#REF!)</f>
        <v>#REF!</v>
      </c>
      <c r="E17" s="2039" t="e">
        <f t="shared" si="0"/>
        <v>#REF!</v>
      </c>
      <c r="F17" s="2167" t="e">
        <f>SUM('VAL. PRINC'!#REF!)</f>
        <v>#REF!</v>
      </c>
      <c r="G17" s="2039" t="e">
        <f t="shared" si="1"/>
        <v>#REF!</v>
      </c>
      <c r="H17" s="2011" t="e">
        <f>SUM('VAL. PRINC'!#REF!)</f>
        <v>#REF!</v>
      </c>
      <c r="I17" s="2013" t="e">
        <f t="shared" si="3"/>
        <v>#REF!</v>
      </c>
      <c r="J17" s="2011" t="e">
        <f>SUM('VAL. PRINC'!#REF!)</f>
        <v>#REF!</v>
      </c>
      <c r="K17" s="2014" t="e">
        <f t="shared" si="4"/>
        <v>#REF!</v>
      </c>
      <c r="M17" s="2016" t="e">
        <f>+J15-M15</f>
        <v>#REF!</v>
      </c>
      <c r="N17" s="2015"/>
      <c r="O17" s="2007"/>
      <c r="P17" s="2132">
        <v>122059.33359999997</v>
      </c>
      <c r="Q17" s="2006" t="e">
        <f t="shared" si="2"/>
        <v>#REF!</v>
      </c>
      <c r="R17" s="2138" t="e">
        <f t="shared" si="5"/>
        <v>#REF!</v>
      </c>
    </row>
    <row r="18" spans="1:18" ht="15.6" customHeight="1">
      <c r="A18" s="2009"/>
      <c r="B18" s="2010" t="s">
        <v>1383</v>
      </c>
      <c r="C18" s="2011" t="e">
        <f>+'VAL. PRINC'!#REF!</f>
        <v>#REF!</v>
      </c>
      <c r="D18" s="2011" t="e">
        <f>SUM('VAL. PRINC'!#REF!)</f>
        <v>#REF!</v>
      </c>
      <c r="E18" s="2039" t="e">
        <f t="shared" si="0"/>
        <v>#REF!</v>
      </c>
      <c r="F18" s="2011" t="e">
        <f>SUM('VAL. PRINC'!#REF!)</f>
        <v>#REF!</v>
      </c>
      <c r="G18" s="2039" t="e">
        <f t="shared" si="1"/>
        <v>#REF!</v>
      </c>
      <c r="H18" s="2011" t="e">
        <f>SUM('VAL. PRINC'!#REF!)</f>
        <v>#REF!</v>
      </c>
      <c r="I18" s="2013" t="e">
        <f t="shared" si="3"/>
        <v>#REF!</v>
      </c>
      <c r="J18" s="2011" t="e">
        <f>SUM('VAL. PRINC'!#REF!)</f>
        <v>#REF!</v>
      </c>
      <c r="K18" s="2014" t="e">
        <f t="shared" si="4"/>
        <v>#REF!</v>
      </c>
      <c r="M18" s="2005"/>
      <c r="N18" s="2017"/>
      <c r="O18" s="2007"/>
      <c r="P18" s="2132">
        <v>147432.61199999999</v>
      </c>
      <c r="Q18" s="2006" t="e">
        <f>+P18-D18</f>
        <v>#REF!</v>
      </c>
      <c r="R18" s="2138" t="e">
        <f t="shared" si="5"/>
        <v>#REF!</v>
      </c>
    </row>
    <row r="19" spans="1:18" s="2223" customFormat="1" ht="15.6" customHeight="1">
      <c r="A19" s="2009"/>
      <c r="B19" s="2010" t="s">
        <v>2827</v>
      </c>
      <c r="C19" s="2011" t="e">
        <f>+'VAL. PRINC'!#REF!</f>
        <v>#REF!</v>
      </c>
      <c r="D19" s="2011">
        <f>SUM('VAL. PRINC'!T19:T117)</f>
        <v>172052.26850000001</v>
      </c>
      <c r="E19" s="2013" t="e">
        <f t="shared" si="0"/>
        <v>#REF!</v>
      </c>
      <c r="F19" s="2011">
        <f>SUM('VAL. PRINC'!V19:V117)</f>
        <v>51963.300300000003</v>
      </c>
      <c r="G19" s="2013" t="e">
        <f t="shared" si="1"/>
        <v>#REF!</v>
      </c>
      <c r="H19" s="2011">
        <f>SUM('VAL. PRINC'!X19:X117)</f>
        <v>224015.56880000001</v>
      </c>
      <c r="I19" s="2013" t="e">
        <f t="shared" si="3"/>
        <v>#REF!</v>
      </c>
      <c r="J19" s="2011">
        <f>SUM('VAL. PRINC'!AA19:AA117)+0.02</f>
        <v>158800.24180000005</v>
      </c>
      <c r="K19" s="2014" t="e">
        <f t="shared" si="4"/>
        <v>#REF!</v>
      </c>
      <c r="M19" s="2224">
        <v>1500000</v>
      </c>
      <c r="N19" s="2225">
        <v>375000</v>
      </c>
      <c r="O19" s="2226"/>
      <c r="P19" s="2227">
        <v>27466.960000000003</v>
      </c>
      <c r="Q19" s="2228">
        <f t="shared" si="2"/>
        <v>-144585.30850000001</v>
      </c>
      <c r="R19" s="2229" t="e">
        <f t="shared" si="5"/>
        <v>#REF!</v>
      </c>
    </row>
    <row r="20" spans="1:18" ht="15.6" customHeight="1">
      <c r="A20" s="2009"/>
      <c r="B20" s="2010" t="s">
        <v>3644</v>
      </c>
      <c r="C20" s="2011" t="e">
        <f>SUM('VAL. PRINC'!#REF!)</f>
        <v>#REF!</v>
      </c>
      <c r="D20" s="2011" t="e">
        <f>SUM('VAL. PRINC'!#REF!)</f>
        <v>#REF!</v>
      </c>
      <c r="E20" s="2039" t="e">
        <f t="shared" si="0"/>
        <v>#REF!</v>
      </c>
      <c r="F20" s="2011" t="e">
        <f>SUM('VAL. PRINC'!#REF!)</f>
        <v>#REF!</v>
      </c>
      <c r="G20" s="2039" t="e">
        <f t="shared" si="1"/>
        <v>#REF!</v>
      </c>
      <c r="H20" s="2011" t="e">
        <f>SUM('VAL. PRINC'!#REF!)</f>
        <v>#REF!</v>
      </c>
      <c r="I20" s="2013" t="e">
        <f t="shared" si="3"/>
        <v>#REF!</v>
      </c>
      <c r="J20" s="2011" t="e">
        <f>SUM('VAL. PRINC'!#REF!)</f>
        <v>#REF!</v>
      </c>
      <c r="K20" s="2014" t="e">
        <f t="shared" si="4"/>
        <v>#REF!</v>
      </c>
      <c r="M20" s="2015">
        <f>+N19/M19</f>
        <v>0.25</v>
      </c>
      <c r="N20" s="2015"/>
      <c r="O20" s="2007"/>
      <c r="P20" s="2132">
        <v>36630</v>
      </c>
      <c r="Q20" s="2006" t="e">
        <f t="shared" si="2"/>
        <v>#REF!</v>
      </c>
      <c r="R20" s="2138" t="e">
        <f t="shared" si="5"/>
        <v>#REF!</v>
      </c>
    </row>
    <row r="21" spans="1:18" ht="15.6" customHeight="1">
      <c r="A21" s="2018"/>
      <c r="B21" s="2019" t="s">
        <v>4270</v>
      </c>
      <c r="C21" s="2020">
        <f>+C26+C31+C36+C39+C23</f>
        <v>4845416.3800000008</v>
      </c>
      <c r="D21" s="2020">
        <f>+D26+D31+D36+D39+D23</f>
        <v>3126915.7644617003</v>
      </c>
      <c r="E21" s="2021">
        <f t="shared" si="0"/>
        <v>0.64533479049775688</v>
      </c>
      <c r="F21" s="2020">
        <f>+F26+F31+F36+F39+F23</f>
        <v>286878.44796800002</v>
      </c>
      <c r="G21" s="2021">
        <f t="shared" si="1"/>
        <v>5.9206149785624815E-2</v>
      </c>
      <c r="H21" s="2020">
        <f>+H26+H31+H36+H39+H23</f>
        <v>3413794.2124297004</v>
      </c>
      <c r="I21" s="2021">
        <f>+H21/C21</f>
        <v>0.70454094028338177</v>
      </c>
      <c r="J21" s="2022">
        <f>+C21-H21</f>
        <v>1431622.1675703004</v>
      </c>
      <c r="K21" s="2023">
        <f>+J21/C21</f>
        <v>0.29545905971661823</v>
      </c>
      <c r="M21" s="2005"/>
      <c r="N21" s="2015"/>
      <c r="O21" s="2007"/>
      <c r="P21" s="2132">
        <v>1925586.6208940002</v>
      </c>
      <c r="Q21" s="2006">
        <f t="shared" si="2"/>
        <v>-1201329.1435677002</v>
      </c>
      <c r="R21" s="2138">
        <f t="shared" si="5"/>
        <v>0</v>
      </c>
    </row>
    <row r="22" spans="1:18" ht="15.6" customHeight="1">
      <c r="A22" s="2024">
        <v>2</v>
      </c>
      <c r="B22" s="2025" t="s">
        <v>4288</v>
      </c>
      <c r="C22" s="2026"/>
      <c r="D22" s="2027"/>
      <c r="E22" s="2028"/>
      <c r="F22" s="2029"/>
      <c r="G22" s="2028"/>
      <c r="H22" s="2029"/>
      <c r="I22" s="2028"/>
      <c r="J22" s="2029"/>
      <c r="K22" s="2030"/>
      <c r="M22" s="2005"/>
      <c r="N22" s="2015"/>
      <c r="O22" s="2007"/>
      <c r="P22" s="2132"/>
      <c r="Q22" s="2006">
        <f t="shared" si="2"/>
        <v>0</v>
      </c>
      <c r="R22" s="2138">
        <f t="shared" si="5"/>
        <v>0</v>
      </c>
    </row>
    <row r="23" spans="1:18" s="1989" customFormat="1" ht="15.6" customHeight="1">
      <c r="A23" s="2031">
        <v>2.1</v>
      </c>
      <c r="B23" s="2032" t="s">
        <v>4289</v>
      </c>
      <c r="C23" s="2033">
        <f>+'VAL. AMP.2 COVID'!I37</f>
        <v>165006.5</v>
      </c>
      <c r="D23" s="2033">
        <f>+'VAL. AMP.2 COVID'!K37</f>
        <v>165006.5</v>
      </c>
      <c r="E23" s="2034">
        <f>+D23/C23</f>
        <v>1</v>
      </c>
      <c r="F23" s="2033">
        <f>+'VAL. AMP.2 COVID'!M37</f>
        <v>0</v>
      </c>
      <c r="G23" s="2034">
        <f>+F23/C23</f>
        <v>0</v>
      </c>
      <c r="H23" s="2033">
        <f>+'VAL. AMP.2 COVID'!O37</f>
        <v>165006.5</v>
      </c>
      <c r="I23" s="2034">
        <f>+H23/C23</f>
        <v>1</v>
      </c>
      <c r="J23" s="2033">
        <f>+'VAL. AMP.2 COVID'!R37</f>
        <v>0</v>
      </c>
      <c r="K23" s="2034">
        <f>+J23/C23</f>
        <v>0</v>
      </c>
      <c r="M23" s="2126"/>
      <c r="N23" s="2127"/>
      <c r="O23" s="2128"/>
      <c r="P23" s="2133">
        <v>165006.5</v>
      </c>
      <c r="Q23" s="2006">
        <f t="shared" si="2"/>
        <v>0</v>
      </c>
      <c r="R23" s="2138">
        <f t="shared" si="5"/>
        <v>0</v>
      </c>
    </row>
    <row r="24" spans="1:18" s="1989" customFormat="1" ht="15.6" customHeight="1">
      <c r="A24" s="2009"/>
      <c r="B24" s="2122"/>
      <c r="C24" s="2123"/>
      <c r="D24" s="2123"/>
      <c r="E24" s="2012"/>
      <c r="F24" s="2123"/>
      <c r="G24" s="2012"/>
      <c r="H24" s="2123"/>
      <c r="I24" s="2012"/>
      <c r="J24" s="2124"/>
      <c r="K24" s="2125"/>
      <c r="M24" s="2126"/>
      <c r="N24" s="2127"/>
      <c r="O24" s="2128"/>
      <c r="P24" s="2133"/>
      <c r="Q24" s="2006">
        <f t="shared" si="2"/>
        <v>0</v>
      </c>
      <c r="R24" s="2138">
        <f t="shared" si="5"/>
        <v>0</v>
      </c>
    </row>
    <row r="25" spans="1:18" ht="15.6" customHeight="1">
      <c r="A25" s="2024">
        <v>3</v>
      </c>
      <c r="B25" s="2025" t="s">
        <v>4283</v>
      </c>
      <c r="C25" s="2026"/>
      <c r="D25" s="2027"/>
      <c r="E25" s="2028"/>
      <c r="F25" s="2029"/>
      <c r="G25" s="2028"/>
      <c r="H25" s="2029"/>
      <c r="I25" s="2028"/>
      <c r="J25" s="2029"/>
      <c r="K25" s="2030"/>
      <c r="M25" s="2005"/>
      <c r="N25" s="2015"/>
      <c r="O25" s="2007"/>
      <c r="P25" s="2132"/>
      <c r="Q25" s="2006">
        <f t="shared" si="2"/>
        <v>0</v>
      </c>
      <c r="R25" s="2138">
        <f t="shared" si="5"/>
        <v>0</v>
      </c>
    </row>
    <row r="26" spans="1:18" ht="15.6" customHeight="1">
      <c r="A26" s="2031">
        <v>3.1</v>
      </c>
      <c r="B26" s="2032" t="s">
        <v>4271</v>
      </c>
      <c r="C26" s="2033">
        <f>SUM(C27:C29)</f>
        <v>587707.12</v>
      </c>
      <c r="D26" s="2033">
        <f>+D27+D28+D29</f>
        <v>552702.85560000001</v>
      </c>
      <c r="E26" s="2034" t="e">
        <f>+D26/C41</f>
        <v>#REF!</v>
      </c>
      <c r="F26" s="2033">
        <f>+F27+F28+F29</f>
        <v>0</v>
      </c>
      <c r="G26" s="2034">
        <f>+F26/C26</f>
        <v>0</v>
      </c>
      <c r="H26" s="2033">
        <f>+H27+H28+H29</f>
        <v>552702.85560000001</v>
      </c>
      <c r="I26" s="2034">
        <f>+H26/C26</f>
        <v>0.94043927117983528</v>
      </c>
      <c r="J26" s="2033">
        <f>+J27+J28+J29</f>
        <v>35004.264400000029</v>
      </c>
      <c r="K26" s="2034">
        <f>+J26/C26</f>
        <v>5.9560728820164763E-2</v>
      </c>
      <c r="M26" s="2005"/>
      <c r="N26" s="2015"/>
      <c r="O26" s="2007"/>
      <c r="P26" s="2132">
        <v>552702.8456</v>
      </c>
      <c r="Q26" s="2006">
        <f t="shared" si="2"/>
        <v>-1.0000000009313226E-2</v>
      </c>
      <c r="R26" s="2138">
        <f t="shared" si="5"/>
        <v>0</v>
      </c>
    </row>
    <row r="27" spans="1:18" ht="15.6" customHeight="1">
      <c r="A27" s="2036"/>
      <c r="B27" s="2037" t="s">
        <v>1132</v>
      </c>
      <c r="C27" s="2038">
        <f>SUM('VAL AMP 3'!I17:I32)</f>
        <v>222650.80000000002</v>
      </c>
      <c r="D27" s="2038">
        <f>SUM('VAL AMP 3'!K17:K32)+0.01</f>
        <v>222650.80160000001</v>
      </c>
      <c r="E27" s="2039">
        <f>+D27/C27</f>
        <v>1.0000000071861408</v>
      </c>
      <c r="F27" s="2038">
        <f>SUM('VAL AMP 3'!M17:M32)</f>
        <v>0</v>
      </c>
      <c r="G27" s="2039">
        <f>+F27/C27</f>
        <v>0</v>
      </c>
      <c r="H27" s="2038">
        <f>SUM('VAL AMP 3'!O17:O32)+0.01</f>
        <v>222650.80160000001</v>
      </c>
      <c r="I27" s="2039">
        <f>+H27/C27</f>
        <v>1.0000000071861408</v>
      </c>
      <c r="J27" s="2040">
        <f>+C27-H27</f>
        <v>-1.5999999886844307E-3</v>
      </c>
      <c r="K27" s="2039">
        <f t="shared" ref="K27:K29" si="6">+J27/C27</f>
        <v>-7.1861407580140318E-9</v>
      </c>
      <c r="M27" s="2005"/>
      <c r="N27" s="2015"/>
      <c r="O27" s="2007"/>
      <c r="P27" s="2132">
        <v>222650.7916</v>
      </c>
      <c r="Q27" s="2006">
        <f t="shared" si="2"/>
        <v>-1.0000000009313226E-2</v>
      </c>
      <c r="R27" s="2138">
        <f>+H27+J27-C27</f>
        <v>0</v>
      </c>
    </row>
    <row r="28" spans="1:18" ht="15.6" customHeight="1">
      <c r="A28" s="2036"/>
      <c r="B28" s="2037" t="s">
        <v>2898</v>
      </c>
      <c r="C28" s="2038">
        <f>SUM('VAL AMP 3'!I35:I50)</f>
        <v>348439.10000000003</v>
      </c>
      <c r="D28" s="2038">
        <f>SUM('VAL AMP 3'!K35:K50)</f>
        <v>326618.57640000002</v>
      </c>
      <c r="E28" s="2039">
        <f>+D28/C28</f>
        <v>0.93737636333006247</v>
      </c>
      <c r="F28" s="2038">
        <f>SUM('VAL AMP 3'!M35:M50)</f>
        <v>0</v>
      </c>
      <c r="G28" s="2039">
        <f>+F28/C28</f>
        <v>0</v>
      </c>
      <c r="H28" s="2038">
        <f>SUM('VAL AMP 3'!O35:O50)</f>
        <v>326618.57640000002</v>
      </c>
      <c r="I28" s="2039">
        <f>+H28/C28</f>
        <v>0.93737636333006247</v>
      </c>
      <c r="J28" s="2040">
        <f t="shared" ref="J28:J29" si="7">+C28-H28</f>
        <v>21820.523600000015</v>
      </c>
      <c r="K28" s="2039">
        <f t="shared" si="6"/>
        <v>6.2623636669937477E-2</v>
      </c>
      <c r="M28" s="2005"/>
      <c r="N28" s="2015"/>
      <c r="O28" s="2007"/>
      <c r="P28" s="2132">
        <v>326618.57640000002</v>
      </c>
      <c r="Q28" s="2006">
        <f t="shared" si="2"/>
        <v>0</v>
      </c>
      <c r="R28" s="2138">
        <f t="shared" si="5"/>
        <v>0</v>
      </c>
    </row>
    <row r="29" spans="1:18" ht="15.6" customHeight="1">
      <c r="A29" s="2036"/>
      <c r="B29" s="2037" t="s">
        <v>1383</v>
      </c>
      <c r="C29" s="2038">
        <f>SUM('VAL AMP 3'!I53:I59)</f>
        <v>16617.22</v>
      </c>
      <c r="D29" s="2038">
        <f>SUM('VAL AMP 3'!K53:K59)</f>
        <v>3433.4776000000002</v>
      </c>
      <c r="E29" s="2039">
        <f>+D29/C29</f>
        <v>0.20662166114428285</v>
      </c>
      <c r="F29" s="2038">
        <f>SUM('VAL AMP 3'!M53:M59)</f>
        <v>0</v>
      </c>
      <c r="G29" s="2039">
        <f>+F29/C29</f>
        <v>0</v>
      </c>
      <c r="H29" s="2038">
        <f>SUM('VAL AMP 3'!O53:O59)</f>
        <v>3433.4776000000002</v>
      </c>
      <c r="I29" s="2039">
        <f>+H29/C29</f>
        <v>0.20662166114428285</v>
      </c>
      <c r="J29" s="2040">
        <f t="shared" si="7"/>
        <v>13183.742400000001</v>
      </c>
      <c r="K29" s="2039">
        <f t="shared" si="6"/>
        <v>0.79337833885571718</v>
      </c>
      <c r="M29" s="2005"/>
      <c r="N29" s="2015"/>
      <c r="O29" s="2007"/>
      <c r="P29" s="2132">
        <v>3433.4776000000002</v>
      </c>
      <c r="Q29" s="2006">
        <f t="shared" si="2"/>
        <v>0</v>
      </c>
      <c r="R29" s="2138">
        <f t="shared" si="5"/>
        <v>0</v>
      </c>
    </row>
    <row r="30" spans="1:18" ht="15.6" customHeight="1">
      <c r="A30" s="2024">
        <v>4</v>
      </c>
      <c r="B30" s="2025" t="s">
        <v>4284</v>
      </c>
      <c r="C30" s="2026"/>
      <c r="D30" s="2026"/>
      <c r="E30" s="2028"/>
      <c r="F30" s="2026"/>
      <c r="G30" s="2028"/>
      <c r="H30" s="2026"/>
      <c r="I30" s="2028"/>
      <c r="J30" s="2029"/>
      <c r="K30" s="2028"/>
      <c r="M30" s="2005"/>
      <c r="N30" s="2015"/>
      <c r="O30" s="2007"/>
      <c r="P30" s="2132"/>
      <c r="Q30" s="2006">
        <f t="shared" si="2"/>
        <v>0</v>
      </c>
      <c r="R30" s="2138">
        <f t="shared" si="5"/>
        <v>0</v>
      </c>
    </row>
    <row r="31" spans="1:18" s="1999" customFormat="1" ht="15.6" customHeight="1">
      <c r="A31" s="2031">
        <v>4.0999999999999996</v>
      </c>
      <c r="B31" s="2032" t="s">
        <v>4272</v>
      </c>
      <c r="C31" s="2033">
        <f>SUM(C32:C35)</f>
        <v>3433797.0500000007</v>
      </c>
      <c r="D31" s="2033">
        <f>SUM(D32:D35)</f>
        <v>1930434.2961172003</v>
      </c>
      <c r="E31" s="2034">
        <f t="shared" ref="E31:E36" si="8">+D31/C31</f>
        <v>0.56218648569145924</v>
      </c>
      <c r="F31" s="2033">
        <f>SUM(F32:F35)</f>
        <v>87330.904018000045</v>
      </c>
      <c r="G31" s="2034">
        <f t="shared" ref="G31:G39" si="9">+F31/C31</f>
        <v>2.543275060999893E-2</v>
      </c>
      <c r="H31" s="2033">
        <f>SUM(H32:H35)</f>
        <v>2017765.2001352001</v>
      </c>
      <c r="I31" s="2034">
        <f t="shared" ref="I31:I39" si="10">+H31/C31</f>
        <v>0.58761923630145807</v>
      </c>
      <c r="J31" s="2035">
        <f t="shared" ref="J31:J36" si="11">+C31-H31</f>
        <v>1416031.8498648007</v>
      </c>
      <c r="K31" s="2034">
        <f>+J31/$C$31</f>
        <v>0.41238076369854193</v>
      </c>
      <c r="M31" s="2041"/>
      <c r="N31" s="2008"/>
      <c r="O31" s="2007"/>
      <c r="P31" s="2132">
        <v>1131099.6684940001</v>
      </c>
      <c r="Q31" s="2006">
        <f t="shared" si="2"/>
        <v>-799334.62762320018</v>
      </c>
      <c r="R31" s="2138">
        <f t="shared" si="5"/>
        <v>0</v>
      </c>
    </row>
    <row r="32" spans="1:18" ht="15.6" customHeight="1">
      <c r="A32" s="2036"/>
      <c r="B32" s="2037" t="s">
        <v>2898</v>
      </c>
      <c r="C32" s="2038">
        <f>SUM('VAL AMP4 MM'!I17:I89)</f>
        <v>2196577.560000001</v>
      </c>
      <c r="D32" s="2038">
        <f>SUM('VAL AMP4 MM'!K17:K89)</f>
        <v>1774252.3162562002</v>
      </c>
      <c r="E32" s="2039">
        <f t="shared" si="8"/>
        <v>0.8077348820117235</v>
      </c>
      <c r="F32" s="2038">
        <f>SUM('VAL AMP4 MM'!M17:M89)</f>
        <v>39229.05919</v>
      </c>
      <c r="G32" s="2039">
        <f t="shared" si="9"/>
        <v>1.7859173244945643E-2</v>
      </c>
      <c r="H32" s="2038">
        <f>SUM('VAL AMP4 MM'!O17:O89)</f>
        <v>1813481.3754462001</v>
      </c>
      <c r="I32" s="2039">
        <f t="shared" si="10"/>
        <v>0.82559405525666907</v>
      </c>
      <c r="J32" s="2038">
        <f>SUM('VAL AMP4 MM'!R17:R89)+0.04</f>
        <v>383096.20000000007</v>
      </c>
      <c r="K32" s="2039">
        <f t="shared" ref="K32:K38" si="12">+J32/C32</f>
        <v>0.17440595177526985</v>
      </c>
      <c r="M32" s="2005"/>
      <c r="N32" s="2015"/>
      <c r="O32" s="2007"/>
      <c r="P32" s="2132">
        <v>1095401.3892940001</v>
      </c>
      <c r="Q32" s="2006">
        <f t="shared" si="2"/>
        <v>-678850.92696220009</v>
      </c>
      <c r="R32" s="2138">
        <f t="shared" si="5"/>
        <v>1.5446199104189873E-2</v>
      </c>
    </row>
    <row r="33" spans="1:18" ht="15.6" customHeight="1">
      <c r="A33" s="2036"/>
      <c r="B33" s="2042" t="s">
        <v>1234</v>
      </c>
      <c r="C33" s="2038">
        <f>SUM('VAL AMP4 MM'!I92:I150)</f>
        <v>958916.75999999966</v>
      </c>
      <c r="D33" s="2038">
        <f>SUM('VAL AMP4 MM'!K92:K150)</f>
        <v>102249.08346099999</v>
      </c>
      <c r="E33" s="2039">
        <f t="shared" si="8"/>
        <v>0.10662978031690679</v>
      </c>
      <c r="F33" s="2038">
        <f>SUM('VAL AMP4 MM'!M92:M150)</f>
        <v>35289.054628000034</v>
      </c>
      <c r="G33" s="2039">
        <f t="shared" si="9"/>
        <v>3.6800957184229467E-2</v>
      </c>
      <c r="H33" s="2038">
        <f>SUM('VAL AMP4 MM'!O92:O150)</f>
        <v>137538.13808900001</v>
      </c>
      <c r="I33" s="2039">
        <f t="shared" si="10"/>
        <v>0.14343073750113625</v>
      </c>
      <c r="J33" s="2038">
        <f>SUM('VAL AMP4 MM'!R92:R150)+0.01</f>
        <v>821378.64</v>
      </c>
      <c r="K33" s="2039">
        <f t="shared" si="12"/>
        <v>0.85656928136285815</v>
      </c>
      <c r="M33" s="2005"/>
      <c r="N33" s="2015"/>
      <c r="O33" s="2007"/>
      <c r="P33" s="2132">
        <v>35698.279199999997</v>
      </c>
      <c r="Q33" s="2006">
        <f t="shared" si="2"/>
        <v>-66550.804260999983</v>
      </c>
      <c r="R33" s="2138">
        <f t="shared" si="5"/>
        <v>1.8089000368490815E-2</v>
      </c>
    </row>
    <row r="34" spans="1:18" ht="15.6" customHeight="1">
      <c r="A34" s="2036"/>
      <c r="B34" s="2042" t="s">
        <v>1327</v>
      </c>
      <c r="C34" s="2038">
        <f>SUM('VAL AMP4 MM'!I154:I200)</f>
        <v>25445.080000000005</v>
      </c>
      <c r="D34" s="2038">
        <f>SUM('VAL AMP4 MM'!K154:K200)</f>
        <v>9194.8499999999985</v>
      </c>
      <c r="E34" s="2039">
        <f t="shared" si="8"/>
        <v>0.36136062452937845</v>
      </c>
      <c r="F34" s="2038">
        <f>SUM('VAL AMP4 MM'!M154:M200)</f>
        <v>562.38</v>
      </c>
      <c r="G34" s="2039">
        <f t="shared" si="9"/>
        <v>2.2101718681961303E-2</v>
      </c>
      <c r="H34" s="2038">
        <f>SUM('VAL AMP4 MM'!O154:O200)</f>
        <v>9757.23</v>
      </c>
      <c r="I34" s="2039">
        <f t="shared" si="10"/>
        <v>0.38346234321133976</v>
      </c>
      <c r="J34" s="2038">
        <f>SUM('VAL AMP4 MM'!R154:R200)</f>
        <v>15687.85</v>
      </c>
      <c r="K34" s="2039">
        <f t="shared" si="12"/>
        <v>0.61653765678866002</v>
      </c>
      <c r="M34" s="2005"/>
      <c r="N34" s="2015"/>
      <c r="O34" s="2007"/>
      <c r="P34" s="2132">
        <v>0</v>
      </c>
      <c r="Q34" s="2006">
        <f t="shared" si="2"/>
        <v>-9194.8499999999985</v>
      </c>
      <c r="R34" s="2138">
        <f t="shared" si="5"/>
        <v>0</v>
      </c>
    </row>
    <row r="35" spans="1:18" ht="15.6" customHeight="1">
      <c r="A35" s="2036"/>
      <c r="B35" s="2037" t="s">
        <v>1383</v>
      </c>
      <c r="C35" s="2038">
        <f>SUM('VAL AMP4 MM'!I203:I257)</f>
        <v>252857.65</v>
      </c>
      <c r="D35" s="2038">
        <f>SUM('VAL AMP4 MM'!K203:K257)</f>
        <v>44738.046399999999</v>
      </c>
      <c r="E35" s="2039">
        <f t="shared" si="8"/>
        <v>0.17692977214650218</v>
      </c>
      <c r="F35" s="2038">
        <f>SUM('VAL AMP4 MM'!M203:M257)</f>
        <v>12250.410199999997</v>
      </c>
      <c r="G35" s="2039">
        <f t="shared" si="9"/>
        <v>4.8447852774080584E-2</v>
      </c>
      <c r="H35" s="2038">
        <f>SUM('VAL AMP4 MM'!O203:O257)</f>
        <v>56988.456599999998</v>
      </c>
      <c r="I35" s="2039">
        <f t="shared" si="10"/>
        <v>0.22537762492058278</v>
      </c>
      <c r="J35" s="2038">
        <f>SUM('VAL AMP4 MM'!R203:R257)</f>
        <v>195869.18999999997</v>
      </c>
      <c r="K35" s="2039">
        <f t="shared" si="12"/>
        <v>0.77462236163311637</v>
      </c>
      <c r="M35" s="2005"/>
      <c r="N35" s="2015"/>
      <c r="O35" s="2007"/>
      <c r="P35" s="2132">
        <v>0</v>
      </c>
      <c r="Q35" s="2006">
        <f t="shared" si="2"/>
        <v>-44738.046399999999</v>
      </c>
      <c r="R35" s="2138">
        <f t="shared" si="5"/>
        <v>-3.4000000159721822E-3</v>
      </c>
    </row>
    <row r="36" spans="1:18" s="1999" customFormat="1" ht="15.6" customHeight="1">
      <c r="A36" s="2031">
        <v>4.2</v>
      </c>
      <c r="B36" s="2032" t="s">
        <v>4271</v>
      </c>
      <c r="C36" s="2033">
        <f>SUM(C37:C38)</f>
        <v>2917415.5299999993</v>
      </c>
      <c r="D36" s="2033">
        <f>SUM(D37:D38)</f>
        <v>478772.11274450005</v>
      </c>
      <c r="E36" s="2034">
        <f t="shared" si="8"/>
        <v>0.16410830333260759</v>
      </c>
      <c r="F36" s="2033">
        <f>SUM(F37:F38)</f>
        <v>199547.54394999996</v>
      </c>
      <c r="G36" s="2034">
        <f t="shared" si="9"/>
        <v>6.8398739191602234E-2</v>
      </c>
      <c r="H36" s="2033">
        <f>SUM(H37:H38)</f>
        <v>678319.65669450001</v>
      </c>
      <c r="I36" s="2034">
        <f t="shared" si="10"/>
        <v>0.23250704252420984</v>
      </c>
      <c r="J36" s="2035">
        <f t="shared" si="11"/>
        <v>2239095.8733054996</v>
      </c>
      <c r="K36" s="2034">
        <f>+J36/$C$36</f>
        <v>0.76749295747579027</v>
      </c>
      <c r="L36" s="2043"/>
      <c r="M36" s="2041"/>
      <c r="N36" s="2008"/>
      <c r="O36" s="2007"/>
      <c r="P36" s="2132">
        <v>76777.606800000009</v>
      </c>
      <c r="Q36" s="2006">
        <f t="shared" si="2"/>
        <v>-401994.50594450004</v>
      </c>
      <c r="R36" s="2138">
        <f t="shared" si="5"/>
        <v>0</v>
      </c>
    </row>
    <row r="37" spans="1:18" s="1999" customFormat="1" ht="15.6" customHeight="1">
      <c r="A37" s="2044"/>
      <c r="B37" s="2037" t="s">
        <v>2898</v>
      </c>
      <c r="C37" s="2038">
        <f>SUM('VAL AMP 4 PN'!I18:I150)</f>
        <v>1385311.6099999994</v>
      </c>
      <c r="D37" s="2038">
        <f>SUM('VAL AMP 4 PN'!K18:K150)</f>
        <v>127575.14600000002</v>
      </c>
      <c r="E37" s="2045"/>
      <c r="F37" s="2038">
        <f>SUM('VAL AMP 4 PN'!M18:M150)</f>
        <v>4844.0072</v>
      </c>
      <c r="G37" s="2039">
        <f t="shared" si="9"/>
        <v>3.4966914050478522E-3</v>
      </c>
      <c r="H37" s="2038">
        <f>SUM('VAL AMP 4 PN'!O18:O150)</f>
        <v>132419.1532</v>
      </c>
      <c r="I37" s="2039">
        <f t="shared" si="10"/>
        <v>9.5587990632663544E-2</v>
      </c>
      <c r="J37" s="2038">
        <f>SUM('VAL AMP 4 PN'!R18:R150)</f>
        <v>1252892.46</v>
      </c>
      <c r="K37" s="2039">
        <f t="shared" si="12"/>
        <v>0.90441201167728646</v>
      </c>
      <c r="L37" s="2043"/>
      <c r="M37" s="2041"/>
      <c r="N37" s="2008"/>
      <c r="O37" s="2007"/>
      <c r="P37" s="2132">
        <v>76777.606800000009</v>
      </c>
      <c r="Q37" s="2006">
        <f t="shared" si="2"/>
        <v>-50797.539200000014</v>
      </c>
      <c r="R37" s="2138">
        <f t="shared" si="5"/>
        <v>3.2000006176531315E-3</v>
      </c>
    </row>
    <row r="38" spans="1:18" s="1999" customFormat="1" ht="15.6" customHeight="1">
      <c r="A38" s="2044"/>
      <c r="B38" s="2042" t="s">
        <v>1234</v>
      </c>
      <c r="C38" s="2038">
        <f>SUM('VAL AMP 4 PN'!I152:I190)</f>
        <v>1532103.92</v>
      </c>
      <c r="D38" s="2038">
        <f>SUM('VAL AMP 4 PN'!K153:K190)</f>
        <v>351196.96674450004</v>
      </c>
      <c r="E38" s="2039"/>
      <c r="F38" s="2038">
        <f>SUM('VAL AMP 4 PN'!M153:M190)</f>
        <v>194703.53674999997</v>
      </c>
      <c r="G38" s="2039">
        <f t="shared" si="9"/>
        <v>0.12708246105786347</v>
      </c>
      <c r="H38" s="2038">
        <f>SUM('VAL AMP 4 PN'!O153:O190)</f>
        <v>545900.50349449995</v>
      </c>
      <c r="I38" s="2039">
        <f t="shared" si="10"/>
        <v>0.35630775195360115</v>
      </c>
      <c r="J38" s="2038">
        <f>SUM('VAL AMP 4 PN'!R153:R190)</f>
        <v>986203.41999999981</v>
      </c>
      <c r="K38" s="2039">
        <f t="shared" si="12"/>
        <v>0.64369225032724919</v>
      </c>
      <c r="L38" s="2043"/>
      <c r="M38" s="2041"/>
      <c r="N38" s="2008"/>
      <c r="O38" s="2007"/>
      <c r="P38" s="2132">
        <v>0</v>
      </c>
      <c r="Q38" s="2006">
        <f t="shared" si="2"/>
        <v>-351196.96674450004</v>
      </c>
      <c r="R38" s="2138">
        <f t="shared" si="5"/>
        <v>3.4944997169077396E-3</v>
      </c>
    </row>
    <row r="39" spans="1:18" s="1999" customFormat="1" ht="15" customHeight="1">
      <c r="A39" s="2046">
        <v>4.3</v>
      </c>
      <c r="B39" s="2047" t="s">
        <v>4273</v>
      </c>
      <c r="C39" s="2048">
        <v>-2258509.8199999998</v>
      </c>
      <c r="D39" s="2048">
        <f>+'[35]Val(F3-5)DEDUC MP2'!H31</f>
        <v>0</v>
      </c>
      <c r="E39" s="2049">
        <f>+D39/C39</f>
        <v>0</v>
      </c>
      <c r="F39" s="2050">
        <f>+'[35]Val(F3-5)DEDUC MP2'!K31</f>
        <v>0</v>
      </c>
      <c r="G39" s="2049">
        <f t="shared" si="9"/>
        <v>0</v>
      </c>
      <c r="H39" s="2050">
        <f>+D39+F39</f>
        <v>0</v>
      </c>
      <c r="I39" s="2049">
        <f t="shared" si="10"/>
        <v>0</v>
      </c>
      <c r="J39" s="2050">
        <f>+C39-H39</f>
        <v>-2258509.8199999998</v>
      </c>
      <c r="K39" s="2049">
        <f>+J39/$C$39</f>
        <v>1</v>
      </c>
      <c r="M39" s="2041"/>
      <c r="N39" s="2041"/>
      <c r="O39" s="2007"/>
      <c r="P39" s="2132">
        <v>0</v>
      </c>
      <c r="Q39" s="2006">
        <f t="shared" si="2"/>
        <v>0</v>
      </c>
      <c r="R39" s="2138">
        <f t="shared" si="5"/>
        <v>0</v>
      </c>
    </row>
    <row r="40" spans="1:18" ht="4.6500000000000004" customHeight="1">
      <c r="A40" s="2051"/>
      <c r="B40" s="2052"/>
      <c r="C40" s="2053"/>
      <c r="D40" s="2053"/>
      <c r="E40" s="2054"/>
      <c r="F40" s="2055"/>
      <c r="G40" s="2054"/>
      <c r="H40" s="2055"/>
      <c r="I40" s="2054"/>
      <c r="J40" s="2055"/>
      <c r="K40" s="2054"/>
      <c r="M40" s="2005"/>
      <c r="N40" s="2056"/>
      <c r="P40" s="2132"/>
      <c r="Q40" s="2006">
        <f t="shared" si="2"/>
        <v>0</v>
      </c>
      <c r="R40" s="2138">
        <f t="shared" si="5"/>
        <v>0</v>
      </c>
    </row>
    <row r="41" spans="1:18">
      <c r="A41" s="2880" t="s">
        <v>4274</v>
      </c>
      <c r="B41" s="2880"/>
      <c r="C41" s="2057" t="e">
        <f>+C13+C26+C31+C36+C39+C23</f>
        <v>#REF!</v>
      </c>
      <c r="D41" s="2057" t="e">
        <f>+D13+D26+D31+D36+D39+D23</f>
        <v>#REF!</v>
      </c>
      <c r="E41" s="2058" t="e">
        <f>+D41/C41</f>
        <v>#REF!</v>
      </c>
      <c r="F41" s="2057" t="e">
        <f>+F13+F26+F31+F36+F39+F23</f>
        <v>#REF!</v>
      </c>
      <c r="G41" s="2058" t="e">
        <f>+F41/C41</f>
        <v>#REF!</v>
      </c>
      <c r="H41" s="2057" t="e">
        <f>+H13+H26+H31+H36+H39+H23</f>
        <v>#REF!</v>
      </c>
      <c r="I41" s="2058" t="e">
        <f>+H41/C41</f>
        <v>#REF!</v>
      </c>
      <c r="J41" s="2057" t="e">
        <f>+J13+J26+J31+J36+J39</f>
        <v>#REF!</v>
      </c>
      <c r="K41" s="2058" t="e">
        <f>+J41/C41</f>
        <v>#REF!</v>
      </c>
      <c r="L41" s="2006"/>
      <c r="M41" s="2059"/>
      <c r="N41" s="2059" t="e">
        <f>+J41+H41</f>
        <v>#REF!</v>
      </c>
      <c r="O41" s="2007"/>
      <c r="P41" s="2134">
        <v>8731190.7716186605</v>
      </c>
      <c r="Q41" s="2006" t="e">
        <f t="shared" si="2"/>
        <v>#REF!</v>
      </c>
      <c r="R41" s="2138" t="e">
        <f>+H41+J41-C41</f>
        <v>#REF!</v>
      </c>
    </row>
    <row r="42" spans="1:18">
      <c r="A42" s="2060"/>
      <c r="B42" s="2061"/>
      <c r="C42" s="2062"/>
      <c r="D42" s="2063"/>
      <c r="E42" s="2063"/>
      <c r="F42" s="2063"/>
      <c r="G42" s="2064"/>
      <c r="H42" s="2063"/>
      <c r="I42" s="2064"/>
      <c r="J42" s="2063"/>
      <c r="K42" s="2064"/>
      <c r="M42" s="2006"/>
      <c r="N42" s="2005" t="e">
        <f>+C41-N41</f>
        <v>#REF!</v>
      </c>
      <c r="O42" s="2007"/>
      <c r="R42" s="2138">
        <f>20.18-20.64</f>
        <v>-0.46000000000000085</v>
      </c>
    </row>
    <row r="43" spans="1:18" ht="19.350000000000001" hidden="1" customHeight="1">
      <c r="A43" s="2881" t="s">
        <v>4275</v>
      </c>
      <c r="B43" s="2881"/>
      <c r="C43" s="2065">
        <f>SUM(C44:C53)</f>
        <v>5594400.9700000007</v>
      </c>
      <c r="D43" s="2066">
        <f>SUM(D44:D53)</f>
        <v>2259810.2899510004</v>
      </c>
      <c r="E43" s="2067">
        <f>+D43/C43</f>
        <v>0.40394142323177096</v>
      </c>
      <c r="F43" s="2066">
        <f>SUM(F44:F53)</f>
        <v>82207.815900000001</v>
      </c>
      <c r="G43" s="2067">
        <f>+F43/C43</f>
        <v>1.4694659238914009E-2</v>
      </c>
      <c r="H43" s="2066">
        <f>SUM(H44:H53)</f>
        <v>2324294.2558510001</v>
      </c>
      <c r="I43" s="2067">
        <f>+H43/C43</f>
        <v>0.41546794166436013</v>
      </c>
      <c r="J43" s="2066">
        <f>SUM(J44:J53)</f>
        <v>3270106.7141489997</v>
      </c>
      <c r="K43" s="2068">
        <f>+J43/C43</f>
        <v>0.5845320583356397</v>
      </c>
      <c r="L43" s="2006"/>
      <c r="M43" s="2006"/>
      <c r="N43" s="2005" t="e">
        <f>+D41+F41</f>
        <v>#REF!</v>
      </c>
      <c r="O43" s="2006"/>
    </row>
    <row r="44" spans="1:18" ht="15.6" hidden="1" customHeight="1">
      <c r="A44" s="2069"/>
      <c r="B44" s="2070" t="s">
        <v>2830</v>
      </c>
      <c r="C44" s="2071">
        <v>281600</v>
      </c>
      <c r="D44" s="2072">
        <f>+'[36]VAL. PRINC'!R840</f>
        <v>0</v>
      </c>
      <c r="E44" s="2073">
        <f>+D44/C44</f>
        <v>0</v>
      </c>
      <c r="F44" s="2074">
        <f>+'[36]VAL. PRINC'!T840</f>
        <v>0</v>
      </c>
      <c r="G44" s="2073">
        <f>+F44/C44</f>
        <v>0</v>
      </c>
      <c r="H44" s="2075">
        <f>+'[36]VAL. PRINC'!V840</f>
        <v>0</v>
      </c>
      <c r="I44" s="2076">
        <f>+H44/C44</f>
        <v>0</v>
      </c>
      <c r="J44" s="2075">
        <f>+C44-H44</f>
        <v>281600</v>
      </c>
      <c r="K44" s="2073">
        <f>+J44/C44</f>
        <v>1</v>
      </c>
      <c r="L44" s="2006"/>
      <c r="M44" s="2006">
        <f>+J44+H44</f>
        <v>281600</v>
      </c>
      <c r="N44" s="2077">
        <f>+M44+M56+M59+M66</f>
        <v>592269.29378381593</v>
      </c>
      <c r="O44" s="2006"/>
    </row>
    <row r="45" spans="1:18" ht="15.6" hidden="1" customHeight="1">
      <c r="A45" s="2044"/>
      <c r="B45" s="2078" t="s">
        <v>2831</v>
      </c>
      <c r="C45" s="2079">
        <v>633159.44999999995</v>
      </c>
      <c r="D45" s="2072">
        <f>+'[36]VAL. PRINC'!R841</f>
        <v>633159.44999999995</v>
      </c>
      <c r="E45" s="2073">
        <f t="shared" ref="E45:E53" si="13">+D45/C45</f>
        <v>1</v>
      </c>
      <c r="F45" s="2074">
        <f>+'[36]VAL. PRINC'!T841</f>
        <v>0</v>
      </c>
      <c r="G45" s="2073">
        <f t="shared" ref="G45:G53" si="14">+F45/C45</f>
        <v>0</v>
      </c>
      <c r="H45" s="2075">
        <f>+'[36]VAL. PRINC'!V841</f>
        <v>633159.44999999995</v>
      </c>
      <c r="I45" s="2076">
        <f t="shared" ref="I45:I53" si="15">+H45/C45</f>
        <v>1</v>
      </c>
      <c r="J45" s="2075">
        <f t="shared" ref="J45:J53" si="16">+C45-H45</f>
        <v>0</v>
      </c>
      <c r="K45" s="2073">
        <f t="shared" ref="K45:K53" si="17">+J45/C45</f>
        <v>0</v>
      </c>
      <c r="M45" s="2006">
        <f t="shared" ref="M45:M53" si="18">+J45+H45</f>
        <v>633159.44999999995</v>
      </c>
      <c r="N45" s="2006">
        <f>+M49+M57+M67</f>
        <v>144639.03</v>
      </c>
      <c r="O45" s="2007"/>
    </row>
    <row r="46" spans="1:18" ht="15.6" hidden="1" customHeight="1">
      <c r="A46" s="2044"/>
      <c r="B46" s="2078" t="s">
        <v>256</v>
      </c>
      <c r="C46" s="2079">
        <v>1537902.87</v>
      </c>
      <c r="D46" s="2072">
        <f>+'[36]VAL. PRINC'!R842</f>
        <v>1089912.4699510001</v>
      </c>
      <c r="E46" s="2073">
        <f t="shared" si="13"/>
        <v>0.70870045905499868</v>
      </c>
      <c r="F46" s="2074">
        <f>+'[36]VAL. PRINC'!T842</f>
        <v>65284.065900000001</v>
      </c>
      <c r="G46" s="2073">
        <f t="shared" si="14"/>
        <v>4.2450057915556137E-2</v>
      </c>
      <c r="H46" s="2075">
        <f>+'[36]VAL. PRINC'!V842</f>
        <v>1155196.5358510001</v>
      </c>
      <c r="I46" s="2076">
        <f t="shared" si="15"/>
        <v>0.7511505169705549</v>
      </c>
      <c r="J46" s="2075">
        <f t="shared" si="16"/>
        <v>382706.334149</v>
      </c>
      <c r="K46" s="2073">
        <f t="shared" si="17"/>
        <v>0.24884948302944515</v>
      </c>
      <c r="M46" s="2006">
        <f t="shared" si="18"/>
        <v>1537902.87</v>
      </c>
      <c r="N46" s="2006">
        <f>+M48</f>
        <v>486143.77</v>
      </c>
      <c r="O46" s="2007"/>
    </row>
    <row r="47" spans="1:18" ht="15.6" hidden="1" customHeight="1">
      <c r="A47" s="2044"/>
      <c r="B47" s="2078" t="s">
        <v>361</v>
      </c>
      <c r="C47" s="2079">
        <v>134176.26999999999</v>
      </c>
      <c r="D47" s="2072">
        <f>+'[36]VAL. PRINC'!R843</f>
        <v>134406.38</v>
      </c>
      <c r="E47" s="2073">
        <f t="shared" si="13"/>
        <v>1.0017149828356386</v>
      </c>
      <c r="F47" s="2074">
        <f>+'[36]VAL. PRINC'!T843</f>
        <v>0</v>
      </c>
      <c r="G47" s="2073">
        <f t="shared" si="14"/>
        <v>0</v>
      </c>
      <c r="H47" s="2075">
        <f>+'[36]VAL. PRINC'!V843</f>
        <v>134406.38</v>
      </c>
      <c r="I47" s="2076">
        <f t="shared" si="15"/>
        <v>1.0017149828356386</v>
      </c>
      <c r="J47" s="2075">
        <f t="shared" si="16"/>
        <v>-230.11000000001513</v>
      </c>
      <c r="K47" s="2073">
        <f t="shared" si="17"/>
        <v>-1.7149828356386352E-3</v>
      </c>
      <c r="M47" s="2006">
        <f t="shared" si="18"/>
        <v>134176.26999999999</v>
      </c>
      <c r="N47" s="2006">
        <f>+M46</f>
        <v>1537902.87</v>
      </c>
      <c r="O47" s="2080"/>
    </row>
    <row r="48" spans="1:18" ht="15.6" hidden="1" customHeight="1">
      <c r="A48" s="2044"/>
      <c r="B48" s="2078" t="s">
        <v>1817</v>
      </c>
      <c r="C48" s="2079">
        <v>486143.77</v>
      </c>
      <c r="D48" s="2072">
        <f>+'[36]VAL. PRINC'!R844</f>
        <v>199392.45000000004</v>
      </c>
      <c r="E48" s="2073">
        <f t="shared" si="13"/>
        <v>0.41015119868758171</v>
      </c>
      <c r="F48" s="2074">
        <f>+'[36]VAL. PRINC'!T844</f>
        <v>15370</v>
      </c>
      <c r="G48" s="2073">
        <f t="shared" si="14"/>
        <v>3.1616161614083829E-2</v>
      </c>
      <c r="H48" s="2075">
        <f>+'[36]VAL. PRINC'!V844</f>
        <v>214762.45000000004</v>
      </c>
      <c r="I48" s="2076">
        <f t="shared" si="15"/>
        <v>0.44176736030166558</v>
      </c>
      <c r="J48" s="2075">
        <f t="shared" si="16"/>
        <v>271381.31999999995</v>
      </c>
      <c r="K48" s="2073">
        <f t="shared" si="17"/>
        <v>0.55823263969833437</v>
      </c>
      <c r="M48" s="2006">
        <f t="shared" si="18"/>
        <v>486143.77</v>
      </c>
      <c r="N48" s="2006">
        <f>+M45</f>
        <v>633159.44999999995</v>
      </c>
      <c r="O48" s="2007"/>
    </row>
    <row r="49" spans="1:15" ht="15.6" hidden="1" customHeight="1">
      <c r="A49" s="2044"/>
      <c r="B49" s="2078" t="s">
        <v>255</v>
      </c>
      <c r="C49" s="2079">
        <v>95831.08</v>
      </c>
      <c r="D49" s="2072">
        <f>+'[36]VAL. PRINC'!R845</f>
        <v>0</v>
      </c>
      <c r="E49" s="2073">
        <f t="shared" si="13"/>
        <v>0</v>
      </c>
      <c r="F49" s="2074">
        <f>+'[36]VAL. PRINC'!T845</f>
        <v>0</v>
      </c>
      <c r="G49" s="2073">
        <f t="shared" si="14"/>
        <v>0</v>
      </c>
      <c r="H49" s="2075">
        <f>+'[36]VAL. PRINC'!V845</f>
        <v>0</v>
      </c>
      <c r="I49" s="2076">
        <f t="shared" si="15"/>
        <v>0</v>
      </c>
      <c r="J49" s="2075">
        <f t="shared" si="16"/>
        <v>95831.08</v>
      </c>
      <c r="K49" s="2073">
        <f t="shared" si="17"/>
        <v>1</v>
      </c>
      <c r="M49" s="2006">
        <f t="shared" si="18"/>
        <v>95831.08</v>
      </c>
      <c r="N49" s="2006">
        <f>+M47</f>
        <v>134176.26999999999</v>
      </c>
      <c r="O49" s="2007"/>
    </row>
    <row r="50" spans="1:15" ht="15.6" hidden="1" customHeight="1">
      <c r="A50" s="2044"/>
      <c r="B50" s="2078" t="s">
        <v>60</v>
      </c>
      <c r="C50" s="2079">
        <v>185215.69</v>
      </c>
      <c r="D50" s="2072">
        <f>+'[36]VAL. PRINC'!R846</f>
        <v>185215.69</v>
      </c>
      <c r="E50" s="2073">
        <f t="shared" si="13"/>
        <v>1</v>
      </c>
      <c r="F50" s="2074">
        <f>+'[36]VAL. PRINC'!T846</f>
        <v>0</v>
      </c>
      <c r="G50" s="2073">
        <f t="shared" si="14"/>
        <v>0</v>
      </c>
      <c r="H50" s="2075">
        <f>+'[36]VAL. PRINC'!V846</f>
        <v>185215.69</v>
      </c>
      <c r="I50" s="2076">
        <f t="shared" si="15"/>
        <v>1</v>
      </c>
      <c r="J50" s="2075">
        <f t="shared" si="16"/>
        <v>0</v>
      </c>
      <c r="K50" s="2073">
        <f t="shared" si="17"/>
        <v>0</v>
      </c>
      <c r="M50" s="2006">
        <f t="shared" si="18"/>
        <v>185215.69</v>
      </c>
      <c r="N50" s="2006" t="e">
        <f>+M50+#REF!</f>
        <v>#REF!</v>
      </c>
      <c r="O50" s="2007"/>
    </row>
    <row r="51" spans="1:15" ht="15.6" hidden="1" customHeight="1">
      <c r="A51" s="2044"/>
      <c r="B51" s="2078" t="s">
        <v>2832</v>
      </c>
      <c r="C51" s="2079">
        <v>1946691</v>
      </c>
      <c r="D51" s="2081">
        <f>+'[36]VAL. PRINC'!R849</f>
        <v>0</v>
      </c>
      <c r="E51" s="2073">
        <f t="shared" si="13"/>
        <v>0</v>
      </c>
      <c r="F51" s="2074">
        <f>+'[36]VAL. PRINC'!T849</f>
        <v>0</v>
      </c>
      <c r="G51" s="2073">
        <f t="shared" si="14"/>
        <v>0</v>
      </c>
      <c r="H51" s="2082">
        <f>+'[36]VAL. PRINC'!T849</f>
        <v>0</v>
      </c>
      <c r="I51" s="2076">
        <f t="shared" si="15"/>
        <v>0</v>
      </c>
      <c r="J51" s="2075">
        <f t="shared" si="16"/>
        <v>1946691</v>
      </c>
      <c r="K51" s="2073">
        <f t="shared" si="17"/>
        <v>1</v>
      </c>
      <c r="M51" s="2006"/>
      <c r="N51" s="2006"/>
      <c r="O51" s="2007"/>
    </row>
    <row r="52" spans="1:15" ht="15.6" hidden="1" customHeight="1">
      <c r="A52" s="2044"/>
      <c r="B52" s="2083" t="s">
        <v>1815</v>
      </c>
      <c r="C52" s="2079">
        <v>203328.92</v>
      </c>
      <c r="D52" s="2081">
        <f>+'[36]VAL. PRINC'!R850</f>
        <v>0</v>
      </c>
      <c r="E52" s="2073">
        <f t="shared" si="13"/>
        <v>0</v>
      </c>
      <c r="F52" s="2074">
        <f>+'[36]VAL. PRINC'!T850</f>
        <v>0</v>
      </c>
      <c r="G52" s="2073">
        <f t="shared" si="14"/>
        <v>0</v>
      </c>
      <c r="H52" s="2082">
        <f>+'[36]VAL. PRINC'!T850</f>
        <v>0</v>
      </c>
      <c r="I52" s="2076">
        <f t="shared" si="15"/>
        <v>0</v>
      </c>
      <c r="J52" s="2075">
        <f t="shared" si="16"/>
        <v>203328.92</v>
      </c>
      <c r="K52" s="2073">
        <f t="shared" si="17"/>
        <v>1</v>
      </c>
      <c r="M52" s="2006">
        <f t="shared" si="18"/>
        <v>203328.92</v>
      </c>
      <c r="N52" s="2006">
        <f>+M53</f>
        <v>90351.92</v>
      </c>
      <c r="O52" s="2007"/>
    </row>
    <row r="53" spans="1:15" ht="15.6" hidden="1" customHeight="1">
      <c r="A53" s="2084"/>
      <c r="B53" s="2085" t="s">
        <v>1812</v>
      </c>
      <c r="C53" s="2086">
        <v>90351.92</v>
      </c>
      <c r="D53" s="2081">
        <f>+'[36]VAL. PRINC'!R851</f>
        <v>17723.849999999999</v>
      </c>
      <c r="E53" s="2073">
        <f t="shared" si="13"/>
        <v>0.19616461941262564</v>
      </c>
      <c r="F53" s="2074">
        <f>+'[36]VAL. PRINC'!T851</f>
        <v>1553.75</v>
      </c>
      <c r="G53" s="2073">
        <f t="shared" si="14"/>
        <v>1.7196646180844856E-2</v>
      </c>
      <c r="H53" s="2082">
        <f>+'[36]VAL. PRINC'!T851</f>
        <v>1553.75</v>
      </c>
      <c r="I53" s="2076">
        <f t="shared" si="15"/>
        <v>1.7196646180844856E-2</v>
      </c>
      <c r="J53" s="2075">
        <f t="shared" si="16"/>
        <v>88798.17</v>
      </c>
      <c r="K53" s="2073">
        <f t="shared" si="17"/>
        <v>0.98280335381915518</v>
      </c>
      <c r="M53" s="2006">
        <f t="shared" si="18"/>
        <v>90351.92</v>
      </c>
      <c r="N53" s="2006" t="e">
        <f>+M52+#REF!</f>
        <v>#REF!</v>
      </c>
      <c r="O53" s="2007"/>
    </row>
    <row r="54" spans="1:15" ht="15.6" hidden="1" customHeight="1">
      <c r="A54" s="2874" t="s">
        <v>4276</v>
      </c>
      <c r="B54" s="2874"/>
      <c r="C54" s="2087">
        <f>+C55+C58+C65</f>
        <v>359477.24378381588</v>
      </c>
      <c r="D54" s="2087">
        <f>+D55+D58+D65</f>
        <v>58567.01596963816</v>
      </c>
      <c r="E54" s="2067">
        <f>+D54/C54</f>
        <v>0.16292273567352561</v>
      </c>
      <c r="F54" s="2087">
        <f>+F55+F58+F65</f>
        <v>0</v>
      </c>
      <c r="G54" s="2067">
        <f>+F54/C54</f>
        <v>0</v>
      </c>
      <c r="H54" s="2087">
        <f>+H55+H58+H65</f>
        <v>58567.01596963816</v>
      </c>
      <c r="I54" s="2067">
        <f>+H54/C54</f>
        <v>0.16292273567352561</v>
      </c>
      <c r="J54" s="2087">
        <f>+J55+J58+J65</f>
        <v>300910.22781417769</v>
      </c>
      <c r="K54" s="2068">
        <f>+J54/C54</f>
        <v>0.83707726432647434</v>
      </c>
      <c r="N54" s="2005" t="e">
        <f>SUM(N44:N53)</f>
        <v>#REF!</v>
      </c>
      <c r="O54" s="2080"/>
    </row>
    <row r="55" spans="1:15" ht="15.6" hidden="1" customHeight="1">
      <c r="A55" s="2088"/>
      <c r="B55" s="2089" t="s">
        <v>4277</v>
      </c>
      <c r="C55" s="2090">
        <f>SUM(C56:C57)</f>
        <v>60115.31</v>
      </c>
      <c r="D55" s="2090">
        <f>SUM(D56:D57)</f>
        <v>55029.742846971581</v>
      </c>
      <c r="E55" s="2091"/>
      <c r="F55" s="2090">
        <f>SUM(F56:F57)</f>
        <v>0</v>
      </c>
      <c r="G55" s="2092"/>
      <c r="H55" s="2090">
        <f t="shared" ref="H55:H67" si="19">+F55+D55</f>
        <v>55029.742846971581</v>
      </c>
      <c r="I55" s="2092"/>
      <c r="J55" s="2090">
        <f>SUM(J56:J57)</f>
        <v>5085.5671530284235</v>
      </c>
      <c r="K55" s="2092"/>
      <c r="N55" s="2006" t="e">
        <f>+N54+C41</f>
        <v>#REF!</v>
      </c>
      <c r="O55" s="2007"/>
    </row>
    <row r="56" spans="1:15" ht="15.6" hidden="1" customHeight="1">
      <c r="A56" s="2044"/>
      <c r="B56" s="2083" t="s">
        <v>256</v>
      </c>
      <c r="C56" s="2080">
        <f>+'[36]VALORIZ. 3'!G61</f>
        <v>45201.65</v>
      </c>
      <c r="D56" s="2081">
        <f>+'[36]VALORIZ. 3'!I61</f>
        <v>41377.731825034469</v>
      </c>
      <c r="E56" s="2093">
        <f>+D56/C56</f>
        <v>0.91540312853699957</v>
      </c>
      <c r="F56" s="2081">
        <f>+'[36]VALORIZ. 3'!K61</f>
        <v>0</v>
      </c>
      <c r="G56" s="2093">
        <f>+F56/C56</f>
        <v>0</v>
      </c>
      <c r="H56" s="2082">
        <f t="shared" si="19"/>
        <v>41377.731825034469</v>
      </c>
      <c r="I56" s="2093">
        <f>+H56/C56</f>
        <v>0.91540312853699957</v>
      </c>
      <c r="J56" s="2082">
        <f>+C56-H56</f>
        <v>3823.9181749655327</v>
      </c>
      <c r="K56" s="2014">
        <f>+J56/C56</f>
        <v>8.4596871463000406E-2</v>
      </c>
      <c r="M56" s="2006">
        <f t="shared" ref="M56:M57" si="20">+J56+H56</f>
        <v>45201.65</v>
      </c>
      <c r="O56" s="2007"/>
    </row>
    <row r="57" spans="1:15" ht="15.6" hidden="1" customHeight="1">
      <c r="A57" s="2044"/>
      <c r="B57" s="2083" t="s">
        <v>1817</v>
      </c>
      <c r="C57" s="2080">
        <f>+'[36]VALORIZ. 3'!G62</f>
        <v>14913.66</v>
      </c>
      <c r="D57" s="2081">
        <f>+'[36]VALORIZ. 3'!I62</f>
        <v>13652.011021937109</v>
      </c>
      <c r="E57" s="2093">
        <f>+D57/C57</f>
        <v>0.91540312853699957</v>
      </c>
      <c r="F57" s="2081">
        <f>+'[36]VALORIZ. 3'!K62</f>
        <v>0</v>
      </c>
      <c r="G57" s="2093">
        <f>+F57/C57</f>
        <v>0</v>
      </c>
      <c r="H57" s="2082">
        <f t="shared" si="19"/>
        <v>13652.011021937109</v>
      </c>
      <c r="I57" s="2093">
        <f>+H57/C57</f>
        <v>0.91540312853699957</v>
      </c>
      <c r="J57" s="2082">
        <f t="shared" ref="J57" si="21">+C57-H57</f>
        <v>1261.6489780628908</v>
      </c>
      <c r="K57" s="2014">
        <f>+J57/C57</f>
        <v>8.459687146300042E-2</v>
      </c>
      <c r="M57" s="2006">
        <f t="shared" si="20"/>
        <v>14913.66</v>
      </c>
      <c r="O57" s="2007"/>
    </row>
    <row r="58" spans="1:15" ht="15.6" hidden="1" customHeight="1">
      <c r="A58" s="2044"/>
      <c r="B58" s="2089" t="s">
        <v>4278</v>
      </c>
      <c r="C58" s="2094">
        <f>+C59</f>
        <v>179125.35378381587</v>
      </c>
      <c r="D58" s="2094">
        <f>+D59</f>
        <v>3537.2731226665815</v>
      </c>
      <c r="E58" s="2095"/>
      <c r="F58" s="2094">
        <f>+F59</f>
        <v>0</v>
      </c>
      <c r="G58" s="2096"/>
      <c r="H58" s="2094">
        <f>+H59</f>
        <v>3537.2731226665815</v>
      </c>
      <c r="I58" s="2096"/>
      <c r="J58" s="2094">
        <f>+J59</f>
        <v>175588.08066114929</v>
      </c>
      <c r="K58" s="2096"/>
      <c r="O58" s="2080"/>
    </row>
    <row r="59" spans="1:15" ht="15.6" hidden="1" customHeight="1">
      <c r="A59" s="2044"/>
      <c r="B59" s="2097" t="s">
        <v>4279</v>
      </c>
      <c r="C59" s="2098">
        <f>SUM(C60:C62)</f>
        <v>179125.35378381587</v>
      </c>
      <c r="D59" s="2099">
        <f>SUM(D60:D62)</f>
        <v>3537.2731226665815</v>
      </c>
      <c r="E59" s="2095"/>
      <c r="F59" s="2074">
        <v>0</v>
      </c>
      <c r="G59" s="2096"/>
      <c r="H59" s="2082">
        <f t="shared" si="19"/>
        <v>3537.2731226665815</v>
      </c>
      <c r="I59" s="2096"/>
      <c r="J59" s="2082">
        <f t="shared" ref="J59" si="22">+C59-H59</f>
        <v>175588.08066114929</v>
      </c>
      <c r="K59" s="2096"/>
      <c r="M59" s="2006">
        <f t="shared" ref="M59" si="23">+J59+H59</f>
        <v>179125.35378381587</v>
      </c>
      <c r="O59" s="2007"/>
    </row>
    <row r="60" spans="1:15" ht="15.6" hidden="1" customHeight="1">
      <c r="A60" s="2044"/>
      <c r="B60" s="2083" t="s">
        <v>256</v>
      </c>
      <c r="C60" s="2080">
        <f>+'[36]VAL 5 AMP4 MM'!G259</f>
        <v>141516.06656581606</v>
      </c>
      <c r="D60" s="2074">
        <f>+'[36]VAL 5 AMP4 MM'!K259</f>
        <v>2794.5847313881704</v>
      </c>
      <c r="E60" s="2093">
        <f t="shared" ref="E60:E61" si="24">+D60/C60</f>
        <v>1.974747319653963E-2</v>
      </c>
      <c r="F60" s="2074">
        <f>+'[36]VAL 5 AMP4 MM'!K259</f>
        <v>2794.5847313881704</v>
      </c>
      <c r="G60" s="2093">
        <f>+F60/C60</f>
        <v>1.974747319653963E-2</v>
      </c>
      <c r="H60" s="2082"/>
      <c r="I60" s="2096"/>
      <c r="J60" s="2082"/>
      <c r="K60" s="2096"/>
      <c r="M60" s="2006"/>
      <c r="O60" s="2007"/>
    </row>
    <row r="61" spans="1:15" ht="15.6" hidden="1" customHeight="1">
      <c r="A61" s="2044"/>
      <c r="B61" s="2083" t="s">
        <v>1817</v>
      </c>
      <c r="C61" s="2080">
        <f>+'[36]VAL 5 AMP4 MM'!G260</f>
        <v>32001.683836142925</v>
      </c>
      <c r="D61" s="2074">
        <f>+'[36]VAL 5 AMP4 MM'!K260</f>
        <v>631.95239379836789</v>
      </c>
      <c r="E61" s="2093">
        <f t="shared" si="24"/>
        <v>1.974747319653963E-2</v>
      </c>
      <c r="F61" s="2074">
        <f>+'[36]VAL 5 AMP4 MM'!K260</f>
        <v>631.95239379836789</v>
      </c>
      <c r="G61" s="2093">
        <f t="shared" ref="G61:G62" si="25">+F61/C61</f>
        <v>1.974747319653963E-2</v>
      </c>
      <c r="H61" s="2082"/>
      <c r="I61" s="2096"/>
      <c r="J61" s="2082"/>
      <c r="K61" s="2096"/>
      <c r="M61" s="2006"/>
      <c r="O61" s="2007"/>
    </row>
    <row r="62" spans="1:15" ht="15.6" hidden="1" customHeight="1">
      <c r="A62" s="2044"/>
      <c r="B62" s="2083" t="s">
        <v>3941</v>
      </c>
      <c r="C62" s="2080">
        <f>+'[36]VAL 5 AMP4 MM'!G261</f>
        <v>5607.6033818568603</v>
      </c>
      <c r="D62" s="2074">
        <f>+'[36]VAL 5 AMP4 MM'!K261</f>
        <v>110.73599748004334</v>
      </c>
      <c r="E62" s="2093">
        <f>+D62/C62</f>
        <v>1.974747319653963E-2</v>
      </c>
      <c r="F62" s="2074">
        <f>+'[36]VAL 5 AMP4 MM'!K261</f>
        <v>110.73599748004334</v>
      </c>
      <c r="G62" s="2093">
        <f t="shared" si="25"/>
        <v>1.974747319653963E-2</v>
      </c>
      <c r="H62" s="2082"/>
      <c r="I62" s="2096"/>
      <c r="J62" s="2082"/>
      <c r="K62" s="2096"/>
      <c r="M62" s="2006"/>
      <c r="O62" s="2007"/>
    </row>
    <row r="63" spans="1:15" ht="15.6" hidden="1" customHeight="1">
      <c r="A63" s="2044"/>
      <c r="B63" s="2083"/>
      <c r="C63" s="2080"/>
      <c r="D63" s="2074"/>
      <c r="E63" s="2095"/>
      <c r="F63" s="2074"/>
      <c r="G63" s="2096"/>
      <c r="H63" s="2082"/>
      <c r="I63" s="2096"/>
      <c r="J63" s="2082"/>
      <c r="K63" s="2096"/>
      <c r="M63" s="2006"/>
      <c r="O63" s="2007"/>
    </row>
    <row r="64" spans="1:15" ht="15.6" hidden="1" customHeight="1">
      <c r="A64" s="2044"/>
      <c r="B64" s="2083"/>
      <c r="C64" s="2080"/>
      <c r="D64" s="2074"/>
      <c r="E64" s="2095"/>
      <c r="F64" s="2074"/>
      <c r="G64" s="2096"/>
      <c r="H64" s="2082"/>
      <c r="I64" s="2096"/>
      <c r="J64" s="2082"/>
      <c r="K64" s="2096"/>
      <c r="M64" s="2006"/>
      <c r="O64" s="2007"/>
    </row>
    <row r="65" spans="1:15" ht="15.6" hidden="1" customHeight="1">
      <c r="A65" s="2044"/>
      <c r="B65" s="2100" t="s">
        <v>4280</v>
      </c>
      <c r="C65" s="2094">
        <f>SUM(C66:C67)</f>
        <v>120236.57999999999</v>
      </c>
      <c r="D65" s="2094">
        <f>SUM(D66:D67)</f>
        <v>0</v>
      </c>
      <c r="E65" s="2095"/>
      <c r="F65" s="2094">
        <f>SUM(F66:F67)</f>
        <v>0</v>
      </c>
      <c r="G65" s="2096"/>
      <c r="H65" s="2094">
        <f>SUM(H66:H67)</f>
        <v>0</v>
      </c>
      <c r="I65" s="2096"/>
      <c r="J65" s="2094">
        <f>SUM(J66:J67)</f>
        <v>120236.57999999999</v>
      </c>
      <c r="K65" s="2096"/>
      <c r="O65" s="2007"/>
    </row>
    <row r="66" spans="1:15" ht="15.6" hidden="1" customHeight="1">
      <c r="A66" s="2044"/>
      <c r="B66" s="2083" t="s">
        <v>256</v>
      </c>
      <c r="C66" s="2080">
        <v>86342.29</v>
      </c>
      <c r="D66" s="2074">
        <v>0</v>
      </c>
      <c r="E66" s="2095"/>
      <c r="F66" s="2074">
        <v>0</v>
      </c>
      <c r="G66" s="2096"/>
      <c r="H66" s="2082">
        <f t="shared" si="19"/>
        <v>0</v>
      </c>
      <c r="I66" s="2096"/>
      <c r="J66" s="2082">
        <f t="shared" ref="J66:J67" si="26">+C66-H66</f>
        <v>86342.29</v>
      </c>
      <c r="K66" s="2096"/>
      <c r="M66" s="2006">
        <f t="shared" ref="M66:M67" si="27">+J66+H66</f>
        <v>86342.29</v>
      </c>
      <c r="O66" s="2007"/>
    </row>
    <row r="67" spans="1:15" ht="15.6" hidden="1" customHeight="1">
      <c r="A67" s="2101"/>
      <c r="B67" s="2102" t="s">
        <v>1817</v>
      </c>
      <c r="C67" s="2103">
        <v>33894.29</v>
      </c>
      <c r="D67" s="2074">
        <v>0</v>
      </c>
      <c r="E67" s="2104"/>
      <c r="F67" s="2074">
        <v>0</v>
      </c>
      <c r="G67" s="2105"/>
      <c r="H67" s="2106">
        <f t="shared" si="19"/>
        <v>0</v>
      </c>
      <c r="I67" s="2105"/>
      <c r="J67" s="2106">
        <f t="shared" si="26"/>
        <v>33894.29</v>
      </c>
      <c r="K67" s="2105"/>
      <c r="M67" s="2006">
        <f t="shared" si="27"/>
        <v>33894.29</v>
      </c>
      <c r="O67" s="2007"/>
    </row>
    <row r="68" spans="1:15" ht="15.6" hidden="1" customHeight="1">
      <c r="A68" s="2875" t="s">
        <v>4281</v>
      </c>
      <c r="B68" s="2875"/>
      <c r="C68" s="2107">
        <f>+C43+C54</f>
        <v>5953878.2137838164</v>
      </c>
      <c r="D68" s="2107">
        <f>+D43+D54</f>
        <v>2318377.3059206386</v>
      </c>
      <c r="E68" s="2067">
        <f>+D68/C68</f>
        <v>0.38938944040765999</v>
      </c>
      <c r="F68" s="2107">
        <f>+F43+F54</f>
        <v>82207.815900000001</v>
      </c>
      <c r="G68" s="2067">
        <f>+F68/C68</f>
        <v>1.3807439948919477E-2</v>
      </c>
      <c r="H68" s="2107">
        <f>+H43+H54</f>
        <v>2382861.2718206383</v>
      </c>
      <c r="I68" s="2067">
        <f>+H68/C68</f>
        <v>0.40022002235519011</v>
      </c>
      <c r="J68" s="2107">
        <f>+J43+J54</f>
        <v>3571016.9419631772</v>
      </c>
      <c r="K68" s="2068">
        <f>+J68/C68</f>
        <v>0.59977997764480973</v>
      </c>
      <c r="O68" s="2007"/>
    </row>
    <row r="69" spans="1:15" ht="9.6" hidden="1" customHeight="1">
      <c r="A69" s="2108"/>
      <c r="B69" s="2109"/>
      <c r="C69" s="2110"/>
      <c r="D69" s="2111"/>
      <c r="E69" s="2112"/>
      <c r="F69" s="2111"/>
      <c r="G69" s="2113"/>
      <c r="H69" s="2111"/>
      <c r="I69" s="2113"/>
      <c r="J69" s="2111"/>
      <c r="K69" s="2113"/>
      <c r="O69" s="2007"/>
    </row>
    <row r="70" spans="1:15" ht="16.649999999999999" hidden="1" customHeight="1">
      <c r="A70" s="2876" t="s">
        <v>4282</v>
      </c>
      <c r="B70" s="2876"/>
      <c r="C70" s="2114" t="e">
        <f>+C68+C41</f>
        <v>#REF!</v>
      </c>
      <c r="D70" s="2114" t="e">
        <f>+D68+D41</f>
        <v>#REF!</v>
      </c>
      <c r="E70" s="2115" t="e">
        <f>+D70/C70</f>
        <v>#REF!</v>
      </c>
      <c r="F70" s="2114" t="e">
        <f>+F68+F41</f>
        <v>#REF!</v>
      </c>
      <c r="G70" s="2116" t="e">
        <f>+F70/C70</f>
        <v>#REF!</v>
      </c>
      <c r="H70" s="2114" t="e">
        <f>+H68+H41</f>
        <v>#REF!</v>
      </c>
      <c r="I70" s="2116" t="e">
        <f>+H70/C70</f>
        <v>#REF!</v>
      </c>
      <c r="J70" s="2114" t="e">
        <f>+J68+J41</f>
        <v>#REF!</v>
      </c>
      <c r="K70" s="2116" t="e">
        <f>+J70/C70</f>
        <v>#REF!</v>
      </c>
      <c r="O70" s="2007"/>
    </row>
    <row r="71" spans="1:15" ht="12" hidden="1" customHeight="1">
      <c r="A71" s="2117"/>
      <c r="B71" s="2117"/>
      <c r="C71" s="2117"/>
      <c r="D71" s="2118"/>
      <c r="E71" s="2118"/>
      <c r="F71" s="2118"/>
      <c r="G71" s="2119"/>
      <c r="H71" s="2118"/>
      <c r="I71" s="2119"/>
      <c r="J71" s="2118"/>
      <c r="K71" s="2119"/>
      <c r="O71" s="2007"/>
    </row>
    <row r="72" spans="1:15" hidden="1"/>
    <row r="73" spans="1:15">
      <c r="C73" s="2005">
        <f>+C54+C43</f>
        <v>5953878.2137838164</v>
      </c>
      <c r="J73" s="2121" t="e">
        <f>+J70+H70</f>
        <v>#REF!</v>
      </c>
    </row>
    <row r="74" spans="1:15">
      <c r="F74" s="2267" t="e">
        <f>+F13+F21</f>
        <v>#REF!</v>
      </c>
      <c r="G74" s="1984">
        <v>229164.22</v>
      </c>
      <c r="H74" s="2058" t="e">
        <f>+G74/F74</f>
        <v>#REF!</v>
      </c>
      <c r="J74" s="2121">
        <f>+J68+H68</f>
        <v>5953878.2137838155</v>
      </c>
    </row>
    <row r="76" spans="1:15">
      <c r="C76" s="2057" t="e">
        <f>+C21+C13</f>
        <v>#REF!</v>
      </c>
      <c r="D76" s="2006" t="e">
        <f>+D41+F41</f>
        <v>#REF!</v>
      </c>
      <c r="F76" s="2267">
        <v>550000</v>
      </c>
      <c r="G76" s="2267">
        <f>+G74*0.6</f>
        <v>137498.53200000001</v>
      </c>
      <c r="H76" s="2267"/>
    </row>
    <row r="77" spans="1:15">
      <c r="C77" s="2057"/>
      <c r="D77" s="2006" t="e">
        <f>+D76+J41</f>
        <v>#REF!</v>
      </c>
      <c r="F77" s="2267" t="e">
        <f>+F76-F41</f>
        <v>#REF!</v>
      </c>
      <c r="G77" s="2267">
        <f>+G76/0.4</f>
        <v>343746.33</v>
      </c>
    </row>
    <row r="78" spans="1:15">
      <c r="C78" s="2057"/>
      <c r="F78" s="2267" t="e">
        <f>+F41*0.4</f>
        <v>#REF!</v>
      </c>
      <c r="H78" s="2267"/>
    </row>
    <row r="79" spans="1:15">
      <c r="C79" s="2057">
        <f>+C31+C36+C26</f>
        <v>6938919.7000000002</v>
      </c>
      <c r="H79" s="2267">
        <f>+G74*1.6</f>
        <v>366662.75200000004</v>
      </c>
    </row>
    <row r="80" spans="1:15">
      <c r="C80" s="2057"/>
      <c r="F80" s="1989">
        <v>11114.7</v>
      </c>
      <c r="H80" s="2267">
        <f>+H79+G74</f>
        <v>595826.97200000007</v>
      </c>
      <c r="I80" s="1984">
        <f>+H80*0.4</f>
        <v>238330.78880000004</v>
      </c>
    </row>
    <row r="81" spans="3:6">
      <c r="C81" s="2057">
        <f>+'[37]valorizado HASTA SETIEMBRE 2021'!$F$887</f>
        <v>21937862.799199998</v>
      </c>
      <c r="F81" s="2267" t="e">
        <f>+F80+F41</f>
        <v>#REF!</v>
      </c>
    </row>
    <row r="82" spans="3:6">
      <c r="C82" s="2057" t="e">
        <f>+C81-C41</f>
        <v>#REF!</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zoomScale="85" zoomScaleNormal="40" zoomScaleSheetLayoutView="85" workbookViewId="0">
      <selection activeCell="K108" sqref="K108"/>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9"/>
      <c r="B1" s="2888" t="s">
        <v>4318</v>
      </c>
      <c r="C1" s="2888"/>
      <c r="D1" s="2888"/>
      <c r="E1" s="2888"/>
      <c r="F1" s="2888"/>
      <c r="G1" s="2888"/>
      <c r="H1" s="2888"/>
      <c r="I1" s="2888"/>
      <c r="J1" s="2888"/>
      <c r="K1" s="2888"/>
      <c r="L1" s="2888"/>
      <c r="M1" s="2888"/>
      <c r="N1" s="2888"/>
      <c r="O1" s="2196"/>
      <c r="P1" s="2196"/>
      <c r="Q1" s="2196"/>
      <c r="R1" s="2196"/>
      <c r="S1" s="2196"/>
      <c r="T1" s="2196"/>
      <c r="U1" s="2196"/>
      <c r="V1" s="2196"/>
      <c r="W1" s="2196"/>
      <c r="X1" s="2196"/>
      <c r="Y1" s="2196"/>
      <c r="Z1" s="2196"/>
      <c r="AA1" s="2196"/>
      <c r="AB1" s="2196"/>
      <c r="AC1" s="2196"/>
      <c r="AD1" s="2196"/>
      <c r="AE1" s="2196"/>
      <c r="AF1" s="2196"/>
      <c r="AG1" s="2196"/>
      <c r="AH1" s="2196"/>
      <c r="AI1" s="2196"/>
      <c r="AJ1" s="2196"/>
      <c r="AK1" s="2196"/>
      <c r="AL1" s="2196"/>
      <c r="AM1" s="2196"/>
      <c r="AN1" s="2196"/>
      <c r="AQ1" s="2888"/>
      <c r="AR1" s="2888"/>
      <c r="AS1" s="2888"/>
      <c r="AT1" s="2888"/>
      <c r="AU1" s="2888"/>
      <c r="AV1" s="2888"/>
      <c r="AW1" s="2888"/>
      <c r="AX1" s="2888"/>
      <c r="AY1" s="2888"/>
      <c r="AZ1" s="2888"/>
      <c r="BA1" s="2888"/>
      <c r="BB1" s="2888"/>
      <c r="BC1" s="2888"/>
    </row>
    <row r="2" spans="1:55" s="307" customFormat="1" ht="15.6">
      <c r="A2" s="1289"/>
      <c r="B2" s="2889" t="s">
        <v>4360</v>
      </c>
      <c r="C2" s="2890"/>
      <c r="D2" s="2890"/>
      <c r="E2" s="2890"/>
      <c r="F2" s="2890"/>
      <c r="G2" s="2890"/>
      <c r="H2" s="2890"/>
      <c r="I2" s="2890"/>
      <c r="J2" s="2890"/>
      <c r="K2" s="2890"/>
      <c r="L2" s="2890"/>
      <c r="M2" s="2890"/>
      <c r="N2" s="2890"/>
      <c r="O2" s="2197"/>
      <c r="P2" s="2197"/>
      <c r="Q2" s="2197"/>
      <c r="R2" s="2197"/>
      <c r="S2" s="2197"/>
      <c r="T2" s="2197"/>
      <c r="U2" s="2197"/>
      <c r="V2" s="2197"/>
      <c r="W2" s="2197"/>
      <c r="X2" s="2197"/>
      <c r="Y2" s="2197"/>
      <c r="Z2" s="2197"/>
      <c r="AA2" s="2197"/>
      <c r="AB2" s="2197"/>
      <c r="AC2" s="2197"/>
      <c r="AD2" s="2197"/>
      <c r="AE2" s="2197"/>
      <c r="AF2" s="2197"/>
      <c r="AG2" s="2197"/>
      <c r="AH2" s="2197"/>
      <c r="AI2" s="2197"/>
      <c r="AJ2" s="2197"/>
      <c r="AK2" s="2197"/>
      <c r="AL2" s="2197"/>
      <c r="AM2" s="2197"/>
      <c r="AN2" s="2197"/>
      <c r="AQ2" s="2891"/>
      <c r="AR2" s="2892"/>
      <c r="AS2" s="2892"/>
      <c r="AT2" s="2892"/>
      <c r="AU2" s="2892"/>
      <c r="AV2" s="2892"/>
      <c r="AW2" s="2892"/>
      <c r="AX2" s="2892"/>
      <c r="AY2" s="2892"/>
      <c r="AZ2" s="2892"/>
      <c r="BA2" s="2892"/>
      <c r="BB2" s="2892"/>
      <c r="BC2" s="2892"/>
    </row>
    <row r="3" spans="1:55" s="307" customFormat="1" ht="13.8">
      <c r="A3" s="1289"/>
      <c r="B3" s="2889"/>
      <c r="C3" s="2890"/>
      <c r="D3" s="2890"/>
      <c r="E3" s="2890"/>
      <c r="F3" s="2890"/>
      <c r="G3" s="2890"/>
      <c r="H3" s="2890"/>
      <c r="I3" s="2890"/>
      <c r="J3" s="2890"/>
      <c r="K3" s="2890"/>
      <c r="L3" s="2890"/>
      <c r="M3" s="2890"/>
      <c r="N3" s="2890"/>
      <c r="O3" s="2197"/>
      <c r="P3" s="2197"/>
      <c r="Q3" s="2197"/>
      <c r="R3" s="2197"/>
      <c r="S3" s="2197"/>
      <c r="T3" s="2197"/>
      <c r="U3" s="2197"/>
      <c r="V3" s="2197"/>
      <c r="W3" s="2197"/>
      <c r="X3" s="2197"/>
      <c r="Y3" s="2197"/>
      <c r="Z3" s="2197"/>
      <c r="AA3" s="2197"/>
      <c r="AB3" s="2197"/>
      <c r="AC3" s="2197"/>
      <c r="AD3" s="2197"/>
      <c r="AE3" s="2197"/>
      <c r="AF3" s="2197"/>
      <c r="AG3" s="2197"/>
      <c r="AH3" s="2197"/>
      <c r="AI3" s="2197"/>
      <c r="AJ3" s="2197"/>
      <c r="AK3" s="2197"/>
      <c r="AL3" s="2197"/>
      <c r="AM3" s="2197"/>
      <c r="AN3" s="2197"/>
      <c r="AQ3" s="2889"/>
      <c r="AR3" s="2890"/>
      <c r="AS3" s="2890"/>
      <c r="AT3" s="2890"/>
      <c r="AU3" s="2890"/>
      <c r="AV3" s="2890"/>
      <c r="AW3" s="2890"/>
      <c r="AX3" s="2890"/>
      <c r="AY3" s="2890"/>
      <c r="AZ3" s="2890"/>
      <c r="BA3" s="2890"/>
      <c r="BB3" s="2890"/>
      <c r="BC3" s="2890"/>
    </row>
    <row r="4" spans="1:55" s="307" customFormat="1" ht="35.25" customHeight="1">
      <c r="A4" s="1289"/>
      <c r="B4" s="1378" t="s">
        <v>291</v>
      </c>
      <c r="C4" s="1290"/>
      <c r="D4" s="2896" t="str">
        <f>'[38]VAL. PRINC'!D4:M4</f>
        <v>MEJORAMIENTO DEL SERVICIO EDUCATIVO EN LA IEP N° 54002 SANTA ROSA E IES SANTA ROSA DEL DISTRITO DE ABANCAY, PROVINCIA DE ABANCAY - REGIÓN APURÍMAC</v>
      </c>
      <c r="E4" s="2896"/>
      <c r="F4" s="2896"/>
      <c r="G4" s="2896"/>
      <c r="H4" s="2896"/>
      <c r="I4" s="2896"/>
      <c r="J4" s="2896"/>
      <c r="K4" s="2896"/>
      <c r="L4" s="2896"/>
      <c r="M4" s="2896"/>
      <c r="N4" s="1378"/>
      <c r="O4" s="1378"/>
      <c r="P4" s="1378"/>
      <c r="Q4" s="1378"/>
      <c r="R4" s="1378"/>
      <c r="S4" s="1378"/>
      <c r="T4" s="1378"/>
      <c r="U4" s="1378"/>
      <c r="V4" s="1378"/>
      <c r="W4" s="1378"/>
      <c r="X4" s="1378"/>
      <c r="Y4" s="1378"/>
      <c r="Z4" s="1378"/>
      <c r="AA4" s="1378"/>
      <c r="AB4" s="1378"/>
      <c r="AC4" s="1378"/>
      <c r="AD4" s="1378"/>
      <c r="AE4" s="1378"/>
      <c r="AF4" s="1378"/>
      <c r="AG4" s="1378"/>
      <c r="AH4" s="1378"/>
      <c r="AI4" s="1378"/>
      <c r="AJ4" s="1378"/>
      <c r="AK4" s="1378"/>
      <c r="AL4" s="1378"/>
      <c r="AM4" s="1378"/>
      <c r="AN4" s="1378"/>
    </row>
    <row r="5" spans="1:55" s="307" customFormat="1" ht="15.75" customHeight="1">
      <c r="A5" s="1289"/>
      <c r="B5" s="1379" t="s">
        <v>292</v>
      </c>
      <c r="C5" s="1291"/>
      <c r="D5" s="2897">
        <f>+'[38]VAL. PRINC'!F848</f>
        <v>19902744.010000005</v>
      </c>
      <c r="E5" s="2897"/>
      <c r="F5" s="2897"/>
      <c r="G5" s="1473"/>
      <c r="H5" s="1473"/>
      <c r="I5" s="1473"/>
      <c r="J5" s="1473"/>
      <c r="K5" s="1473"/>
      <c r="L5" s="1473"/>
      <c r="M5" s="1473"/>
      <c r="N5" s="1473"/>
      <c r="O5" s="1473"/>
      <c r="P5" s="1473"/>
      <c r="Q5" s="1473"/>
      <c r="R5" s="1473"/>
      <c r="S5" s="1473"/>
      <c r="T5" s="1473"/>
      <c r="U5" s="1473"/>
      <c r="V5" s="1473"/>
      <c r="W5" s="1473"/>
      <c r="X5" s="1473"/>
      <c r="Y5" s="1473"/>
      <c r="Z5" s="1473"/>
      <c r="AA5" s="1473"/>
      <c r="AB5" s="1473"/>
      <c r="AC5" s="1473"/>
      <c r="AD5" s="1473"/>
      <c r="AE5" s="1473"/>
      <c r="AF5" s="1473"/>
      <c r="AG5" s="1473"/>
      <c r="AH5" s="1473"/>
      <c r="AI5" s="1473"/>
      <c r="AJ5" s="1473"/>
      <c r="AK5" s="1473"/>
      <c r="AL5" s="1473"/>
      <c r="AM5" s="1473"/>
      <c r="AN5" s="1473"/>
    </row>
    <row r="6" spans="1:55" s="307" customFormat="1" ht="15.75" customHeight="1">
      <c r="A6" s="1289"/>
      <c r="B6" s="1379" t="s">
        <v>3711</v>
      </c>
      <c r="C6" s="1291"/>
      <c r="D6" s="2898">
        <v>26822242.739999998</v>
      </c>
      <c r="E6" s="2898"/>
      <c r="F6" s="2898"/>
      <c r="G6" s="1473"/>
      <c r="H6" s="1473"/>
      <c r="I6" s="1473"/>
      <c r="J6" s="1473"/>
      <c r="K6" s="1473"/>
      <c r="L6" s="1473"/>
      <c r="M6" s="1473"/>
      <c r="N6" s="1473"/>
      <c r="O6" s="1473"/>
      <c r="P6" s="1473"/>
      <c r="Q6" s="1473"/>
      <c r="R6" s="1473"/>
      <c r="S6" s="1473"/>
      <c r="T6" s="1473"/>
      <c r="U6" s="1473"/>
      <c r="V6" s="1473"/>
      <c r="W6" s="1473"/>
      <c r="X6" s="1473"/>
      <c r="Y6" s="1473"/>
      <c r="Z6" s="1473"/>
      <c r="AA6" s="1473"/>
      <c r="AB6" s="1473"/>
      <c r="AC6" s="1473"/>
      <c r="AD6" s="1473"/>
      <c r="AE6" s="1473"/>
      <c r="AF6" s="1473"/>
      <c r="AG6" s="1473"/>
      <c r="AH6" s="1473"/>
      <c r="AI6" s="1473"/>
      <c r="AJ6" s="1473"/>
      <c r="AK6" s="1473"/>
      <c r="AL6" s="1473"/>
      <c r="AM6" s="1473"/>
      <c r="AN6" s="1473"/>
    </row>
    <row r="7" spans="1:55" s="307" customFormat="1" ht="15.75" customHeight="1">
      <c r="A7" s="1289"/>
      <c r="B7" s="1379" t="s">
        <v>293</v>
      </c>
      <c r="C7" s="1291"/>
      <c r="D7" s="1474" t="s">
        <v>294</v>
      </c>
      <c r="E7" s="1474"/>
      <c r="F7" s="1474"/>
      <c r="G7" s="1474"/>
      <c r="H7" s="1474"/>
      <c r="I7" s="1474"/>
      <c r="J7" s="1474"/>
      <c r="K7" s="1474"/>
      <c r="L7" s="1474"/>
      <c r="M7" s="1474"/>
      <c r="N7" s="1474"/>
      <c r="O7" s="1474"/>
      <c r="P7" s="1474"/>
      <c r="Q7" s="1474"/>
      <c r="R7" s="1474"/>
      <c r="S7" s="1474"/>
      <c r="T7" s="1474"/>
      <c r="U7" s="1474"/>
      <c r="V7" s="1474"/>
      <c r="W7" s="1474"/>
      <c r="X7" s="1474"/>
      <c r="Y7" s="1474"/>
      <c r="Z7" s="1474"/>
      <c r="AA7" s="1474"/>
      <c r="AB7" s="1474"/>
      <c r="AC7" s="1474"/>
      <c r="AD7" s="1474"/>
      <c r="AE7" s="1474"/>
      <c r="AF7" s="1474"/>
      <c r="AG7" s="1474"/>
      <c r="AH7" s="1474"/>
      <c r="AI7" s="1474"/>
      <c r="AJ7" s="1474"/>
      <c r="AK7" s="1474"/>
      <c r="AL7" s="1474"/>
      <c r="AM7" s="1474"/>
      <c r="AN7" s="1474"/>
    </row>
    <row r="8" spans="1:55" s="307" customFormat="1" ht="15.75" customHeight="1">
      <c r="A8" s="1289"/>
      <c r="B8" s="1379" t="s">
        <v>295</v>
      </c>
      <c r="C8" s="1291"/>
      <c r="D8" s="1474" t="s">
        <v>3578</v>
      </c>
      <c r="E8" s="1474"/>
      <c r="F8" s="1474"/>
      <c r="G8" s="1474"/>
      <c r="H8" s="1474"/>
      <c r="I8" s="1474"/>
      <c r="J8" s="1474"/>
      <c r="K8" s="1474"/>
      <c r="L8" s="1474"/>
      <c r="M8" s="1474"/>
      <c r="N8" s="1474"/>
      <c r="O8" s="1474"/>
      <c r="P8" s="1474"/>
      <c r="Q8" s="1474"/>
      <c r="R8" s="1474"/>
      <c r="S8" s="1474"/>
      <c r="T8" s="1474"/>
      <c r="U8" s="1474"/>
      <c r="V8" s="1474"/>
      <c r="W8" s="1474"/>
      <c r="X8" s="1474"/>
      <c r="Y8" s="1474"/>
      <c r="Z8" s="1474"/>
      <c r="AA8" s="1474"/>
      <c r="AB8" s="1474"/>
      <c r="AC8" s="1474"/>
      <c r="AD8" s="1474"/>
      <c r="AE8" s="1474"/>
      <c r="AF8" s="1474"/>
      <c r="AG8" s="1474"/>
      <c r="AH8" s="1474"/>
      <c r="AI8" s="1474"/>
      <c r="AJ8" s="1474"/>
      <c r="AK8" s="1474"/>
      <c r="AL8" s="1474"/>
      <c r="AM8" s="1474"/>
      <c r="AN8" s="1474"/>
    </row>
    <row r="9" spans="1:55" s="307" customFormat="1" ht="15.75" customHeight="1">
      <c r="A9" s="1289"/>
      <c r="B9" s="1379" t="s">
        <v>296</v>
      </c>
      <c r="C9" s="1291"/>
      <c r="D9" s="1475" t="s">
        <v>3712</v>
      </c>
      <c r="E9" s="1475"/>
      <c r="F9" s="1475"/>
      <c r="G9" s="1475"/>
      <c r="H9" s="1475"/>
      <c r="I9" s="1475"/>
      <c r="J9" s="1475"/>
      <c r="K9" s="1475"/>
      <c r="L9" s="1475"/>
      <c r="M9" s="1475"/>
      <c r="N9" s="1475"/>
      <c r="O9" s="1475"/>
      <c r="P9" s="1475"/>
      <c r="Q9" s="1475"/>
      <c r="R9" s="1475"/>
      <c r="S9" s="1475"/>
      <c r="T9" s="1475"/>
      <c r="U9" s="1475"/>
      <c r="V9" s="1475"/>
      <c r="W9" s="1475"/>
      <c r="X9" s="1475"/>
      <c r="Y9" s="1475"/>
      <c r="Z9" s="1475"/>
      <c r="AA9" s="1475"/>
      <c r="AB9" s="1475"/>
      <c r="AC9" s="1475"/>
      <c r="AD9" s="1475"/>
      <c r="AE9" s="1475"/>
      <c r="AF9" s="1475"/>
      <c r="AG9" s="1475"/>
      <c r="AH9" s="1475"/>
      <c r="AI9" s="1475"/>
      <c r="AJ9" s="1475"/>
      <c r="AK9" s="1475"/>
      <c r="AL9" s="1475"/>
      <c r="AM9" s="1475"/>
      <c r="AN9" s="1475"/>
    </row>
    <row r="10" spans="1:55" s="307" customFormat="1" ht="15.75" customHeight="1">
      <c r="A10" s="1289"/>
      <c r="B10" s="1379" t="s">
        <v>297</v>
      </c>
      <c r="C10" s="1292"/>
      <c r="D10" s="1474" t="s">
        <v>3579</v>
      </c>
      <c r="E10" s="1474"/>
      <c r="F10" s="1474"/>
      <c r="G10" s="1474"/>
      <c r="H10" s="1474"/>
      <c r="I10" s="1474"/>
      <c r="J10" s="1474"/>
      <c r="K10" s="1474"/>
      <c r="L10" s="1474"/>
      <c r="M10" s="1474"/>
      <c r="N10" s="1474"/>
      <c r="O10" s="1474"/>
      <c r="P10" s="1474"/>
      <c r="Q10" s="1474"/>
      <c r="R10" s="1474"/>
      <c r="S10" s="1474"/>
      <c r="T10" s="1474"/>
      <c r="U10" s="1474"/>
      <c r="V10" s="1474"/>
      <c r="W10" s="1474"/>
      <c r="X10" s="1474"/>
      <c r="Y10" s="1474"/>
      <c r="Z10" s="1474"/>
      <c r="AA10" s="1474"/>
      <c r="AB10" s="1474"/>
      <c r="AC10" s="1474"/>
      <c r="AD10" s="1474"/>
      <c r="AE10" s="1474"/>
      <c r="AF10" s="1474"/>
      <c r="AG10" s="1474"/>
      <c r="AH10" s="1474"/>
      <c r="AI10" s="1474"/>
      <c r="AJ10" s="1474"/>
      <c r="AK10" s="1474"/>
      <c r="AL10" s="1474"/>
      <c r="AM10" s="1474"/>
      <c r="AN10" s="1474"/>
    </row>
    <row r="11" spans="1:55" s="307" customFormat="1" ht="15.75" customHeight="1">
      <c r="A11" s="1289"/>
      <c r="B11" s="1379" t="s">
        <v>298</v>
      </c>
      <c r="C11" s="1293"/>
      <c r="D11" s="1472" t="s">
        <v>3577</v>
      </c>
      <c r="E11" s="1472"/>
      <c r="F11" s="1472"/>
      <c r="G11" s="1472"/>
      <c r="H11" s="1472"/>
      <c r="I11" s="1472"/>
      <c r="J11" s="1472"/>
      <c r="K11" s="1472"/>
      <c r="L11" s="1472"/>
      <c r="M11" s="1472"/>
      <c r="N11" s="1472"/>
      <c r="O11" s="1472"/>
      <c r="P11" s="1472"/>
      <c r="Q11" s="1472"/>
      <c r="R11" s="1472"/>
      <c r="S11" s="1472"/>
      <c r="T11" s="1472"/>
      <c r="U11" s="1472"/>
      <c r="V11" s="1472"/>
      <c r="W11" s="1472"/>
      <c r="X11" s="1472"/>
      <c r="Y11" s="1472"/>
      <c r="Z11" s="1472"/>
      <c r="AA11" s="1472"/>
      <c r="AB11" s="1472"/>
      <c r="AC11" s="1472"/>
      <c r="AD11" s="1472"/>
      <c r="AE11" s="1472"/>
      <c r="AF11" s="1472"/>
      <c r="AG11" s="1472"/>
      <c r="AH11" s="1472"/>
      <c r="AI11" s="1472"/>
      <c r="AJ11" s="1472"/>
      <c r="AK11" s="1472"/>
      <c r="AL11" s="1472"/>
      <c r="AM11" s="1472"/>
      <c r="AN11" s="1472"/>
    </row>
    <row r="12" spans="1:55" s="306" customFormat="1" ht="15.75" customHeight="1">
      <c r="B12" s="1379" t="s">
        <v>3713</v>
      </c>
      <c r="D12" s="2899" t="s">
        <v>3649</v>
      </c>
      <c r="E12" s="2899"/>
      <c r="F12" s="2899"/>
      <c r="G12" s="2899"/>
      <c r="H12" s="2899"/>
      <c r="I12" s="2899"/>
      <c r="J12" s="2899"/>
      <c r="K12" s="2899"/>
      <c r="L12" s="2899"/>
      <c r="M12" s="2899"/>
      <c r="N12" s="1472"/>
      <c r="O12" s="1472"/>
      <c r="P12" s="1472"/>
      <c r="Q12" s="1472"/>
      <c r="R12" s="1472"/>
      <c r="S12" s="1472"/>
      <c r="T12" s="1472"/>
      <c r="U12" s="1472"/>
      <c r="V12" s="1472"/>
      <c r="W12" s="1472"/>
      <c r="X12" s="1472"/>
      <c r="Y12" s="1472"/>
      <c r="Z12" s="1472"/>
      <c r="AA12" s="1472"/>
      <c r="AB12" s="1472"/>
      <c r="AC12" s="1472"/>
      <c r="AD12" s="1472"/>
      <c r="AE12" s="1472"/>
      <c r="AF12" s="1472"/>
      <c r="AG12" s="1472"/>
      <c r="AH12" s="1472"/>
      <c r="AI12" s="1472"/>
      <c r="AJ12" s="1472"/>
      <c r="AK12" s="1472"/>
      <c r="AL12" s="1472"/>
      <c r="AM12" s="1472"/>
      <c r="AN12" s="1472"/>
    </row>
    <row r="13" spans="1:55" s="306" customFormat="1" ht="15.75" customHeight="1">
      <c r="B13" s="1379" t="s">
        <v>3714</v>
      </c>
      <c r="D13" s="2199" t="s">
        <v>4361</v>
      </c>
      <c r="E13" s="2199"/>
      <c r="F13" s="2199"/>
      <c r="G13" s="2199"/>
      <c r="H13" s="2199"/>
      <c r="I13" s="2199"/>
      <c r="J13" s="2199"/>
      <c r="K13" s="2199"/>
      <c r="L13" s="2199"/>
      <c r="M13" s="2199"/>
      <c r="N13" s="1472"/>
      <c r="O13" s="1472"/>
      <c r="P13" s="1472"/>
      <c r="Q13" s="1472"/>
      <c r="R13" s="1472"/>
      <c r="S13" s="1472"/>
      <c r="T13" s="1472"/>
      <c r="U13" s="1472"/>
      <c r="V13" s="1472"/>
      <c r="W13" s="1472"/>
      <c r="X13" s="1472"/>
      <c r="Y13" s="1472"/>
      <c r="Z13" s="1472"/>
      <c r="AA13" s="1472"/>
      <c r="AB13" s="1472"/>
      <c r="AC13" s="1472"/>
      <c r="AD13" s="1472"/>
      <c r="AE13" s="1472"/>
      <c r="AF13" s="1472"/>
      <c r="AG13" s="1472"/>
      <c r="AH13" s="1472"/>
      <c r="AI13" s="1472"/>
      <c r="AJ13" s="1472"/>
      <c r="AK13" s="1472"/>
      <c r="AL13" s="1472"/>
      <c r="AM13" s="1472"/>
      <c r="AN13" s="1472"/>
    </row>
    <row r="56" spans="1:40">
      <c r="O56" s="1392"/>
      <c r="P56" s="2893">
        <v>2019</v>
      </c>
      <c r="Q56" s="2894"/>
      <c r="R56" s="2894"/>
      <c r="S56" s="2894"/>
      <c r="T56" s="2894"/>
      <c r="U56" s="2895"/>
      <c r="V56" s="2901">
        <v>2020</v>
      </c>
      <c r="W56" s="2902"/>
      <c r="X56" s="2902"/>
      <c r="Y56" s="2902"/>
      <c r="Z56" s="2902"/>
      <c r="AA56" s="2902"/>
      <c r="AB56" s="2902"/>
      <c r="AC56" s="2902"/>
      <c r="AD56" s="2902"/>
      <c r="AE56" s="2903"/>
      <c r="AF56" s="2893">
        <v>2021</v>
      </c>
      <c r="AG56" s="2894"/>
      <c r="AH56" s="2894"/>
      <c r="AI56" s="2894"/>
      <c r="AJ56" s="2894"/>
      <c r="AK56" s="2895"/>
      <c r="AL56" s="2207"/>
      <c r="AM56" s="2207"/>
      <c r="AN56" s="2207"/>
    </row>
    <row r="57" spans="1:40" s="2200" customFormat="1">
      <c r="O57" s="2203"/>
      <c r="P57" s="2203" t="s">
        <v>529</v>
      </c>
      <c r="Q57" s="2203" t="s">
        <v>531</v>
      </c>
      <c r="R57" s="2203" t="s">
        <v>4303</v>
      </c>
      <c r="S57" s="2203" t="s">
        <v>4304</v>
      </c>
      <c r="T57" s="2203" t="s">
        <v>2156</v>
      </c>
      <c r="U57" s="2203" t="s">
        <v>4305</v>
      </c>
      <c r="V57" s="2203" t="s">
        <v>4306</v>
      </c>
      <c r="W57" s="2203" t="s">
        <v>4307</v>
      </c>
      <c r="X57" s="2203" t="s">
        <v>4312</v>
      </c>
      <c r="Y57" s="2203" t="s">
        <v>448</v>
      </c>
      <c r="Z57" s="2203" t="s">
        <v>529</v>
      </c>
      <c r="AA57" s="2203" t="s">
        <v>4300</v>
      </c>
      <c r="AB57" s="2203" t="s">
        <v>4303</v>
      </c>
      <c r="AC57" s="2203" t="s">
        <v>4304</v>
      </c>
      <c r="AD57" s="2203" t="s">
        <v>2156</v>
      </c>
      <c r="AE57" s="2203" t="s">
        <v>4305</v>
      </c>
      <c r="AF57" s="2203" t="s">
        <v>4306</v>
      </c>
      <c r="AG57" s="2203" t="s">
        <v>4307</v>
      </c>
      <c r="AH57" s="2203" t="s">
        <v>4308</v>
      </c>
      <c r="AI57" s="2203" t="s">
        <v>1798</v>
      </c>
      <c r="AJ57" s="2203" t="s">
        <v>449</v>
      </c>
      <c r="AK57" s="2203" t="s">
        <v>448</v>
      </c>
      <c r="AL57" s="1381"/>
      <c r="AM57" s="1381"/>
      <c r="AN57" s="1381"/>
    </row>
    <row r="58" spans="1:40">
      <c r="O58" s="1392" t="s">
        <v>4309</v>
      </c>
      <c r="P58" s="1394">
        <f>+I69</f>
        <v>163335.85083333339</v>
      </c>
      <c r="Q58" s="1394">
        <f>+I70</f>
        <v>198250.70737759999</v>
      </c>
      <c r="R58" s="1394">
        <f>+I71</f>
        <v>515145.37920035288</v>
      </c>
      <c r="S58" s="1394">
        <f>+I72</f>
        <v>509571.72485879995</v>
      </c>
      <c r="T58" s="1394">
        <f>+I73</f>
        <v>548883.38561104971</v>
      </c>
      <c r="U58" s="1394">
        <f>+I74</f>
        <v>566686.0553353033</v>
      </c>
      <c r="V58" s="1394">
        <f>+I75</f>
        <v>150231.86396299998</v>
      </c>
      <c r="W58" s="1394">
        <f>+I76</f>
        <v>362432.44625150017</v>
      </c>
      <c r="X58" s="1394">
        <f>+I77</f>
        <v>278985.27599320019</v>
      </c>
      <c r="Y58" s="2204"/>
      <c r="Z58" s="2204">
        <v>599332.04767999949</v>
      </c>
      <c r="AA58" s="2204">
        <v>614710.61599999992</v>
      </c>
      <c r="AB58" s="2204">
        <v>398967.69059099996</v>
      </c>
      <c r="AC58" s="2204">
        <v>537925.3792812482</v>
      </c>
      <c r="AD58" s="2204">
        <v>435855.97540000005</v>
      </c>
      <c r="AE58" s="2204">
        <f>184138.5666</f>
        <v>184138.56659999999</v>
      </c>
      <c r="AF58" s="2204">
        <f>191923.4705+57565.518622172</f>
        <v>249488.989122172</v>
      </c>
      <c r="AG58" s="2204"/>
      <c r="AH58" s="2204">
        <v>491662.19662610599</v>
      </c>
      <c r="AI58" s="2204">
        <v>622162.79332784051</v>
      </c>
      <c r="AJ58" s="2204">
        <v>614449.08968906011</v>
      </c>
      <c r="AK58" s="2204">
        <v>435125.62085304008</v>
      </c>
      <c r="AL58" s="2208"/>
      <c r="AM58" s="2208"/>
      <c r="AN58" s="2208"/>
    </row>
    <row r="59" spans="1:40">
      <c r="O59" s="1392" t="s">
        <v>4301</v>
      </c>
      <c r="P59" s="1392"/>
      <c r="Q59" s="1392"/>
      <c r="R59" s="1392"/>
      <c r="S59" s="1392"/>
      <c r="T59" s="1392"/>
      <c r="U59" s="1392"/>
      <c r="V59" s="1392"/>
      <c r="W59" s="1392"/>
      <c r="X59" s="1392"/>
      <c r="Y59" s="2204">
        <v>10883.300000000001</v>
      </c>
      <c r="Z59" s="2204">
        <v>119400</v>
      </c>
      <c r="AA59" s="2204">
        <v>444</v>
      </c>
      <c r="AB59" s="2204">
        <f>34170</f>
        <v>34170</v>
      </c>
      <c r="AC59" s="2204"/>
      <c r="AD59" s="2204"/>
      <c r="AE59" s="2204"/>
      <c r="AF59" s="2204">
        <f>109.200000000012</f>
        <v>109.200000000012</v>
      </c>
      <c r="AG59" s="2204"/>
      <c r="AH59" s="2204"/>
      <c r="AI59" s="2204"/>
      <c r="AJ59" s="2204"/>
      <c r="AK59" s="2204"/>
      <c r="AL59" s="2208"/>
      <c r="AM59" s="2208"/>
      <c r="AN59" s="2208"/>
    </row>
    <row r="60" spans="1:40">
      <c r="O60" s="1392" t="s">
        <v>4302</v>
      </c>
      <c r="P60" s="1392"/>
      <c r="Q60" s="1392"/>
      <c r="R60" s="1392"/>
      <c r="S60" s="1392"/>
      <c r="T60" s="1392"/>
      <c r="U60" s="1392"/>
      <c r="V60" s="1392"/>
      <c r="W60" s="1392"/>
      <c r="X60" s="1392"/>
      <c r="Y60" s="2204"/>
      <c r="Z60" s="2204"/>
      <c r="AA60" s="2204"/>
      <c r="AB60" s="2204"/>
      <c r="AC60" s="2204"/>
      <c r="AD60" s="2204">
        <v>457948.8995</v>
      </c>
      <c r="AE60" s="2204">
        <v>69155.92730000001</v>
      </c>
      <c r="AF60" s="2204">
        <f>5927.856+10654.1627999999</f>
        <v>16582.0187999999</v>
      </c>
      <c r="AG60" s="2204"/>
      <c r="AH60" s="2204">
        <v>9016</v>
      </c>
      <c r="AI60" s="2204">
        <v>0</v>
      </c>
      <c r="AJ60" s="2204"/>
      <c r="AK60" s="2204"/>
      <c r="AL60" s="2208"/>
      <c r="AM60" s="2208"/>
      <c r="AN60" s="2208"/>
    </row>
    <row r="61" spans="1:40">
      <c r="O61" s="1392" t="s">
        <v>4310</v>
      </c>
      <c r="P61" s="1392"/>
      <c r="Q61" s="1392"/>
      <c r="R61" s="1392"/>
      <c r="S61" s="1392"/>
      <c r="T61" s="1392"/>
      <c r="U61" s="1392"/>
      <c r="V61" s="1392"/>
      <c r="W61" s="1392"/>
      <c r="X61" s="1392"/>
      <c r="Y61" s="2204"/>
      <c r="Z61" s="2204"/>
      <c r="AA61" s="2204"/>
      <c r="AB61" s="2204"/>
      <c r="AC61" s="2204"/>
      <c r="AD61" s="2204"/>
      <c r="AE61" s="2204">
        <v>888036.85309999983</v>
      </c>
      <c r="AF61" s="2204">
        <f>12225.826996+11167.8308140003</f>
        <v>23393.657810000299</v>
      </c>
      <c r="AG61" s="2204"/>
      <c r="AH61" s="2204">
        <v>219669.15758399997</v>
      </c>
      <c r="AI61" s="2204">
        <v>161365.83375679998</v>
      </c>
      <c r="AJ61" s="2204">
        <v>17986.787199999999</v>
      </c>
      <c r="AK61" s="2204">
        <v>242224.28167059997</v>
      </c>
      <c r="AL61" s="2208"/>
      <c r="AM61" s="2208"/>
      <c r="AN61" s="2208"/>
    </row>
    <row r="62" spans="1:40">
      <c r="O62" s="1392" t="s">
        <v>4311</v>
      </c>
      <c r="P62" s="1392"/>
      <c r="Q62" s="1392"/>
      <c r="R62" s="1392"/>
      <c r="S62" s="1392"/>
      <c r="T62" s="1392"/>
      <c r="U62" s="1392"/>
      <c r="V62" s="1392"/>
      <c r="W62" s="1392"/>
      <c r="X62" s="1392"/>
      <c r="Y62" s="2204"/>
      <c r="Z62" s="2204"/>
      <c r="AA62" s="2204"/>
      <c r="AB62" s="2204"/>
      <c r="AC62" s="2204"/>
      <c r="AD62" s="2204"/>
      <c r="AE62" s="2204">
        <v>56971.901399999995</v>
      </c>
      <c r="AF62" s="2204">
        <v>601.96020000000897</v>
      </c>
      <c r="AG62" s="2204"/>
      <c r="AH62" s="2204">
        <v>19203.745200000001</v>
      </c>
      <c r="AI62" s="2204">
        <v>3458.1701999999996</v>
      </c>
      <c r="AJ62" s="2204">
        <v>116076.48023850001</v>
      </c>
      <c r="AK62" s="2204">
        <v>56754.928524999988</v>
      </c>
      <c r="AL62" s="2208"/>
      <c r="AM62" s="2208"/>
      <c r="AN62" s="2208"/>
    </row>
    <row r="63" spans="1:40" ht="16.2" thickBot="1">
      <c r="A63" s="2904" t="s">
        <v>299</v>
      </c>
      <c r="B63" s="2904"/>
      <c r="C63" s="2904"/>
      <c r="D63" s="2904"/>
      <c r="E63" s="2904"/>
      <c r="F63" s="2904"/>
      <c r="G63" s="2904"/>
      <c r="H63" s="2904"/>
      <c r="I63" s="2904"/>
      <c r="J63" s="2904"/>
      <c r="K63" s="2904"/>
      <c r="L63" s="2904"/>
      <c r="M63" s="2905"/>
      <c r="N63" s="2905"/>
      <c r="O63" s="2205" t="s">
        <v>359</v>
      </c>
      <c r="P63" s="2205"/>
      <c r="Q63" s="2205"/>
      <c r="R63" s="2205"/>
      <c r="S63" s="2205"/>
      <c r="T63" s="2205"/>
      <c r="U63" s="2205"/>
      <c r="V63" s="2205"/>
      <c r="W63" s="2205"/>
      <c r="X63" s="2205"/>
      <c r="Y63" s="2206">
        <f>SUM(Y58:Y62)</f>
        <v>10883.300000000001</v>
      </c>
      <c r="Z63" s="2206">
        <f t="shared" ref="Z63:AH63" si="0">SUM(Z58:Z62)</f>
        <v>718732.04767999949</v>
      </c>
      <c r="AA63" s="2206">
        <f t="shared" si="0"/>
        <v>615154.61599999992</v>
      </c>
      <c r="AB63" s="2206">
        <f t="shared" si="0"/>
        <v>433137.69059099996</v>
      </c>
      <c r="AC63" s="2206">
        <f t="shared" si="0"/>
        <v>537925.3792812482</v>
      </c>
      <c r="AD63" s="2206">
        <f t="shared" si="0"/>
        <v>893804.87490000005</v>
      </c>
      <c r="AE63" s="2206">
        <f t="shared" si="0"/>
        <v>1198303.2483999999</v>
      </c>
      <c r="AF63" s="2206">
        <f t="shared" si="0"/>
        <v>290175.82593217224</v>
      </c>
      <c r="AG63" s="2206">
        <f t="shared" si="0"/>
        <v>0</v>
      </c>
      <c r="AH63" s="2206">
        <f t="shared" si="0"/>
        <v>739551.09941010596</v>
      </c>
      <c r="AI63" s="2206">
        <f t="shared" ref="AI63" si="1">SUM(AI58:AI62)</f>
        <v>786986.7972846406</v>
      </c>
      <c r="AJ63" s="2206">
        <f t="shared" ref="AJ63" si="2">SUM(AJ58:AJ62)</f>
        <v>748512.35712756019</v>
      </c>
      <c r="AK63" s="2206">
        <f t="shared" ref="AK63" si="3">SUM(AK58:AK62)</f>
        <v>734104.83104864007</v>
      </c>
      <c r="AL63" s="2209"/>
      <c r="AM63" s="2209"/>
      <c r="AN63" s="2209"/>
    </row>
    <row r="64" spans="1:40" ht="13.2" customHeight="1">
      <c r="A64" s="2912" t="s">
        <v>4347</v>
      </c>
      <c r="B64" s="2913"/>
      <c r="C64" s="2249" t="s">
        <v>1923</v>
      </c>
      <c r="D64" s="2250"/>
      <c r="E64" s="2251"/>
      <c r="F64" s="2909" t="s">
        <v>1924</v>
      </c>
      <c r="G64" s="2910"/>
      <c r="H64" s="2911"/>
      <c r="I64" s="2909" t="s">
        <v>1925</v>
      </c>
      <c r="J64" s="2910"/>
      <c r="K64" s="2911"/>
      <c r="L64" s="2254" t="s">
        <v>300</v>
      </c>
      <c r="M64" s="2255"/>
      <c r="N64" s="1381"/>
      <c r="O64" s="1381"/>
      <c r="P64" s="1381"/>
      <c r="Q64" s="1381"/>
      <c r="R64" s="1381"/>
      <c r="S64" s="2203"/>
      <c r="T64" s="1381"/>
      <c r="U64" s="1381"/>
      <c r="V64" s="1381"/>
      <c r="W64" s="1381"/>
      <c r="X64" s="1381"/>
      <c r="Y64" s="1381"/>
      <c r="Z64" s="1381"/>
      <c r="AA64" s="1381"/>
      <c r="AB64" s="1381"/>
      <c r="AC64" s="1381"/>
      <c r="AD64" s="1381"/>
      <c r="AE64" s="1381"/>
      <c r="AF64" s="1381"/>
      <c r="AG64" s="1381"/>
      <c r="AH64" s="1381"/>
      <c r="AI64" s="1381"/>
      <c r="AJ64" s="1381"/>
      <c r="AK64" s="1381"/>
      <c r="AL64" s="1381"/>
      <c r="AM64" s="1381"/>
      <c r="AN64" s="1381"/>
    </row>
    <row r="65" spans="1:44" ht="16.2" customHeight="1">
      <c r="A65" s="2914" t="s">
        <v>4348</v>
      </c>
      <c r="B65" s="1380" t="s">
        <v>301</v>
      </c>
      <c r="C65" s="1382" t="s">
        <v>82</v>
      </c>
      <c r="D65" s="1383" t="s">
        <v>82</v>
      </c>
      <c r="E65" s="1384" t="s">
        <v>302</v>
      </c>
      <c r="F65" s="1382" t="s">
        <v>82</v>
      </c>
      <c r="G65" s="1383" t="s">
        <v>82</v>
      </c>
      <c r="H65" s="1384" t="s">
        <v>302</v>
      </c>
      <c r="I65" s="1382" t="s">
        <v>82</v>
      </c>
      <c r="J65" s="1383" t="s">
        <v>82</v>
      </c>
      <c r="K65" s="1384" t="s">
        <v>302</v>
      </c>
      <c r="L65" s="2256" t="s">
        <v>303</v>
      </c>
      <c r="M65" s="2256" t="s">
        <v>304</v>
      </c>
      <c r="N65" s="2900"/>
      <c r="O65" s="2198"/>
      <c r="P65" s="2215" t="s">
        <v>4313</v>
      </c>
      <c r="Q65" s="2221" t="s">
        <v>4316</v>
      </c>
      <c r="R65" s="2222" t="s">
        <v>4317</v>
      </c>
      <c r="S65" s="2221" t="s">
        <v>4315</v>
      </c>
      <c r="T65" s="2218"/>
      <c r="U65" s="2218"/>
      <c r="V65" s="2218"/>
      <c r="W65" s="2214"/>
      <c r="X65" s="2214"/>
      <c r="Y65" s="2214"/>
      <c r="Z65" s="2214"/>
      <c r="AA65" s="2198"/>
      <c r="AB65" s="2198"/>
      <c r="AC65" s="2198"/>
      <c r="AD65" s="2198"/>
      <c r="AE65" s="2198"/>
      <c r="AF65" s="2198"/>
      <c r="AG65" s="2210"/>
      <c r="AH65" s="2198"/>
      <c r="AI65" s="2198"/>
      <c r="AJ65" s="2198"/>
      <c r="AK65" s="2198"/>
      <c r="AL65" s="2198"/>
      <c r="AM65" s="2198"/>
      <c r="AN65" s="2198"/>
    </row>
    <row r="66" spans="1:44" ht="13.2" customHeight="1">
      <c r="A66" s="2914"/>
      <c r="B66" s="1385"/>
      <c r="C66" s="1386" t="s">
        <v>1</v>
      </c>
      <c r="D66" s="1387" t="s">
        <v>0</v>
      </c>
      <c r="E66" s="1388" t="s">
        <v>0</v>
      </c>
      <c r="F66" s="1386" t="s">
        <v>1</v>
      </c>
      <c r="G66" s="1387" t="s">
        <v>0</v>
      </c>
      <c r="H66" s="1388" t="s">
        <v>0</v>
      </c>
      <c r="I66" s="1386" t="s">
        <v>1</v>
      </c>
      <c r="J66" s="1387" t="s">
        <v>0</v>
      </c>
      <c r="K66" s="1388" t="s">
        <v>0</v>
      </c>
      <c r="L66" s="2257"/>
      <c r="M66" s="2257"/>
      <c r="N66" s="2900"/>
      <c r="O66" s="1392" t="s">
        <v>4309</v>
      </c>
      <c r="P66" s="2215">
        <v>15398736.547100004</v>
      </c>
      <c r="Q66" s="2219">
        <f>+P66</f>
        <v>15398736.547100004</v>
      </c>
      <c r="R66" s="2219">
        <f>+Q66</f>
        <v>15398736.547100004</v>
      </c>
      <c r="S66" s="2215">
        <v>15586650.219999997</v>
      </c>
      <c r="T66" s="2214"/>
      <c r="U66" s="2214"/>
      <c r="V66" s="2214"/>
      <c r="W66" s="2214"/>
      <c r="X66" s="2214"/>
      <c r="Y66" s="2214"/>
      <c r="Z66" s="2214"/>
      <c r="AA66" s="2198"/>
      <c r="AB66" s="2198"/>
      <c r="AC66" s="2198"/>
      <c r="AD66" s="2198"/>
      <c r="AE66" s="2198"/>
      <c r="AF66" s="2212"/>
      <c r="AG66" s="2198"/>
      <c r="AH66" s="2198"/>
      <c r="AI66" s="2198"/>
      <c r="AJ66" s="2198"/>
      <c r="AK66" s="2198"/>
      <c r="AL66" s="2198"/>
      <c r="AM66" s="2198"/>
      <c r="AN66" s="2198"/>
    </row>
    <row r="67" spans="1:44">
      <c r="A67" s="1392"/>
      <c r="B67" s="1375"/>
      <c r="C67" s="1392"/>
      <c r="D67" s="1392"/>
      <c r="E67" s="1392"/>
      <c r="F67" s="1392"/>
      <c r="G67" s="1392"/>
      <c r="H67" s="1392">
        <v>0</v>
      </c>
      <c r="I67" s="1392"/>
      <c r="J67" s="1392"/>
      <c r="K67" s="1392">
        <v>0</v>
      </c>
      <c r="L67" s="1375"/>
      <c r="M67" s="1375"/>
      <c r="N67" s="1389"/>
      <c r="O67" s="1392" t="s">
        <v>4301</v>
      </c>
      <c r="P67" s="2216">
        <v>164897.29999999999</v>
      </c>
      <c r="Q67" s="2220">
        <f>+P67</f>
        <v>164897.29999999999</v>
      </c>
      <c r="R67" s="2220">
        <f>+Q67</f>
        <v>164897.29999999999</v>
      </c>
      <c r="S67" s="2216">
        <v>165006.5</v>
      </c>
      <c r="T67" s="2213"/>
      <c r="U67" s="2213"/>
      <c r="V67" s="2213"/>
      <c r="W67" s="2213"/>
      <c r="X67" s="2213"/>
      <c r="Y67" s="2213"/>
      <c r="Z67" s="2213"/>
      <c r="AA67" s="1389"/>
      <c r="AB67" s="2201"/>
      <c r="AC67" s="1389"/>
      <c r="AD67" s="1389"/>
      <c r="AE67" s="1389"/>
      <c r="AF67" s="1389"/>
      <c r="AG67" s="2211"/>
      <c r="AH67" s="2211"/>
      <c r="AI67" s="1389"/>
      <c r="AJ67" s="1389"/>
      <c r="AK67" s="1389"/>
      <c r="AL67" s="1389"/>
      <c r="AM67" s="1389"/>
      <c r="AN67" s="1389"/>
    </row>
    <row r="68" spans="1:44">
      <c r="A68" s="1375">
        <v>1</v>
      </c>
      <c r="B68" s="1393">
        <v>43663</v>
      </c>
      <c r="C68" s="1394"/>
      <c r="D68" s="1395"/>
      <c r="E68" s="1396"/>
      <c r="F68" s="1394">
        <v>0</v>
      </c>
      <c r="G68" s="1395">
        <f t="shared" ref="G68:G99" si="4">+F68/$F$101</f>
        <v>0</v>
      </c>
      <c r="H68" s="1396">
        <f>G68</f>
        <v>0</v>
      </c>
      <c r="I68" s="1394">
        <v>0</v>
      </c>
      <c r="J68" s="1395">
        <f t="shared" ref="J68:J99" si="5">+I68/F$101</f>
        <v>0</v>
      </c>
      <c r="K68" s="1396">
        <f>J68</f>
        <v>0</v>
      </c>
      <c r="L68" s="1390"/>
      <c r="M68" s="1390"/>
      <c r="N68" s="1346" t="str">
        <f>IF(K68&gt;E68,K68/E68,"")</f>
        <v/>
      </c>
      <c r="O68" s="1392" t="s">
        <v>4302</v>
      </c>
      <c r="P68" s="2216"/>
      <c r="Q68" s="2220">
        <v>575817.15679999988</v>
      </c>
      <c r="R68" s="2220">
        <f>+Q68</f>
        <v>575817.15679999988</v>
      </c>
      <c r="S68" s="2216">
        <v>587707.12</v>
      </c>
      <c r="T68" s="2213"/>
      <c r="U68" s="2213"/>
      <c r="V68" s="2213"/>
      <c r="W68" s="2213"/>
      <c r="X68" s="2213"/>
      <c r="Y68" s="2213"/>
      <c r="Z68" s="2213"/>
      <c r="AA68" s="1346"/>
      <c r="AB68" s="1346"/>
      <c r="AC68" s="1346"/>
      <c r="AD68" s="1346"/>
      <c r="AE68" s="1346"/>
      <c r="AF68" s="2213"/>
      <c r="AG68" s="2213"/>
      <c r="AH68" s="1346"/>
      <c r="AI68" s="1346"/>
      <c r="AJ68" s="1346"/>
      <c r="AK68" s="1346"/>
      <c r="AL68" s="1346"/>
      <c r="AM68" s="1346"/>
      <c r="AN68" s="1346"/>
      <c r="AP68" s="305"/>
    </row>
    <row r="69" spans="1:44">
      <c r="A69" s="1375">
        <f>+A68+1</f>
        <v>2</v>
      </c>
      <c r="B69" s="1393">
        <v>43677</v>
      </c>
      <c r="C69" s="1394"/>
      <c r="D69" s="1395"/>
      <c r="E69" s="1396"/>
      <c r="F69" s="1394">
        <v>163335.85083333339</v>
      </c>
      <c r="G69" s="1395">
        <f t="shared" si="4"/>
        <v>7.2095222060975022E-3</v>
      </c>
      <c r="H69" s="1396">
        <f>G69</f>
        <v>7.2095222060975022E-3</v>
      </c>
      <c r="I69" s="1394">
        <v>163335.85083333339</v>
      </c>
      <c r="J69" s="1395">
        <f t="shared" si="5"/>
        <v>7.2095222060975022E-3</v>
      </c>
      <c r="K69" s="1396">
        <f>J69</f>
        <v>7.2095222060975022E-3</v>
      </c>
      <c r="L69" s="1390" t="str">
        <f t="shared" ref="L69:M71" si="6">IF(J69&gt;=G69,"ADELANTADO","ATRASADO")</f>
        <v>ADELANTADO</v>
      </c>
      <c r="M69" s="1390" t="str">
        <f t="shared" si="6"/>
        <v>ADELANTADO</v>
      </c>
      <c r="N69" s="1346" t="e">
        <f>IF(K69&gt;E69,K69/E69,"")</f>
        <v>#DIV/0!</v>
      </c>
      <c r="O69" s="1392" t="s">
        <v>4310</v>
      </c>
      <c r="P69" s="2216"/>
      <c r="Q69" s="2220"/>
      <c r="R69" s="2220">
        <v>3388063.5096000014</v>
      </c>
      <c r="S69" s="2216">
        <v>3433797.0500000007</v>
      </c>
      <c r="T69" s="2213"/>
      <c r="U69" s="2213"/>
      <c r="V69" s="2213"/>
      <c r="W69" s="2213"/>
      <c r="X69" s="2213"/>
      <c r="Y69" s="2213"/>
      <c r="Z69" s="2213"/>
      <c r="AA69" s="1346"/>
      <c r="AB69" s="2202"/>
      <c r="AC69" s="1346"/>
      <c r="AD69" s="1346"/>
      <c r="AE69" s="1346"/>
      <c r="AF69" s="1346"/>
      <c r="AG69" s="1346"/>
      <c r="AH69" s="1346"/>
      <c r="AI69" s="1346"/>
      <c r="AJ69" s="1346"/>
      <c r="AK69" s="1346"/>
      <c r="AL69" s="1346"/>
      <c r="AM69" s="1346"/>
      <c r="AN69" s="1346"/>
      <c r="AO69" s="1295">
        <v>566463.24800000002</v>
      </c>
      <c r="AP69" s="1295">
        <f>I69</f>
        <v>163335.85083333339</v>
      </c>
      <c r="AQ69" s="1295">
        <f>F69</f>
        <v>163335.85083333339</v>
      </c>
    </row>
    <row r="70" spans="1:44">
      <c r="A70" s="1375">
        <f t="shared" ref="A70:A99" si="7">+A69+1</f>
        <v>3</v>
      </c>
      <c r="B70" s="1393">
        <v>43707</v>
      </c>
      <c r="C70" s="1394"/>
      <c r="D70" s="1395"/>
      <c r="E70" s="1396"/>
      <c r="F70" s="1394">
        <v>198250.70737759999</v>
      </c>
      <c r="G70" s="1395">
        <f t="shared" si="4"/>
        <v>8.7506378417300697E-3</v>
      </c>
      <c r="H70" s="1395">
        <f>+G70+H69</f>
        <v>1.5960160047827573E-2</v>
      </c>
      <c r="I70" s="1394">
        <v>198250.70737759999</v>
      </c>
      <c r="J70" s="1395">
        <f t="shared" si="5"/>
        <v>8.7506378417300697E-3</v>
      </c>
      <c r="K70" s="1396">
        <f t="shared" ref="K70:K92" si="8">J70+K69</f>
        <v>1.5960160047827573E-2</v>
      </c>
      <c r="L70" s="1390" t="str">
        <f t="shared" si="6"/>
        <v>ADELANTADO</v>
      </c>
      <c r="M70" s="1390" t="str">
        <f t="shared" si="6"/>
        <v>ADELANTADO</v>
      </c>
      <c r="N70" s="1346"/>
      <c r="O70" s="1392" t="s">
        <v>4311</v>
      </c>
      <c r="P70" s="2216"/>
      <c r="Q70" s="2216"/>
      <c r="R70" s="2220">
        <v>2866473.4419000009</v>
      </c>
      <c r="S70" s="2216">
        <v>2917415.5299999993</v>
      </c>
      <c r="T70" s="2213"/>
      <c r="U70" s="2213"/>
      <c r="V70" s="2213"/>
      <c r="W70" s="2213"/>
      <c r="X70" s="2213"/>
      <c r="Y70" s="2213"/>
      <c r="Z70" s="2213"/>
      <c r="AA70" s="1346"/>
      <c r="AB70" s="1346"/>
      <c r="AC70" s="1346"/>
      <c r="AD70" s="1346"/>
      <c r="AE70" s="1346"/>
      <c r="AF70" s="1346"/>
      <c r="AG70" s="1346"/>
      <c r="AH70" s="1346"/>
      <c r="AI70" s="1346"/>
      <c r="AJ70" s="1346"/>
      <c r="AK70" s="1346"/>
      <c r="AL70" s="1346"/>
      <c r="AM70" s="1346"/>
      <c r="AN70" s="1346"/>
      <c r="AO70" s="1295">
        <v>764713.95799999998</v>
      </c>
      <c r="AP70" s="1295">
        <f t="shared" ref="AP70:AP77" si="9">AP69+I70</f>
        <v>361586.55821093335</v>
      </c>
      <c r="AQ70" s="1295">
        <f t="shared" ref="AQ70:AQ77" si="10">AQ69+F70</f>
        <v>361586.55821093335</v>
      </c>
    </row>
    <row r="71" spans="1:44">
      <c r="A71" s="1375">
        <f t="shared" si="7"/>
        <v>4</v>
      </c>
      <c r="B71" s="1393">
        <v>43738</v>
      </c>
      <c r="C71" s="1394"/>
      <c r="D71" s="1395"/>
      <c r="E71" s="1396"/>
      <c r="F71" s="1394">
        <v>515145.37920035288</v>
      </c>
      <c r="G71" s="1395">
        <f t="shared" si="4"/>
        <v>2.2738131474290661E-2</v>
      </c>
      <c r="H71" s="1396">
        <f t="shared" ref="H71:H90" si="11">G71+H70</f>
        <v>3.8698291522118233E-2</v>
      </c>
      <c r="I71" s="1394">
        <v>515145.37920035288</v>
      </c>
      <c r="J71" s="1395">
        <f t="shared" si="5"/>
        <v>2.2738131474290661E-2</v>
      </c>
      <c r="K71" s="1396">
        <f t="shared" si="8"/>
        <v>3.8698291522118233E-2</v>
      </c>
      <c r="L71" s="1390" t="str">
        <f t="shared" si="6"/>
        <v>ADELANTADO</v>
      </c>
      <c r="M71" s="1390" t="str">
        <f t="shared" si="6"/>
        <v>ADELANTADO</v>
      </c>
      <c r="N71" s="1346"/>
      <c r="O71" s="1392" t="s">
        <v>4314</v>
      </c>
      <c r="P71" s="1392"/>
      <c r="Q71" s="1392"/>
      <c r="R71" s="2220">
        <v>-2223144.83</v>
      </c>
      <c r="S71" s="2216">
        <v>-2258509.8199999998</v>
      </c>
      <c r="T71" s="2213"/>
      <c r="U71" s="2213"/>
      <c r="V71" s="2213"/>
      <c r="W71" s="2213"/>
      <c r="X71" s="2213"/>
      <c r="Y71" s="2213"/>
      <c r="Z71" s="2213"/>
      <c r="AA71" s="1346"/>
      <c r="AB71" s="1346"/>
      <c r="AC71" s="1346"/>
      <c r="AD71" s="1346"/>
      <c r="AE71" s="1346"/>
      <c r="AF71" s="1346"/>
      <c r="AG71" s="1346"/>
      <c r="AH71" s="1346"/>
      <c r="AI71" s="1346"/>
      <c r="AJ71" s="1346"/>
      <c r="AK71" s="1346"/>
      <c r="AL71" s="1346"/>
      <c r="AM71" s="1346"/>
      <c r="AN71" s="1346"/>
      <c r="AO71" s="1295">
        <v>764713.95799999998</v>
      </c>
      <c r="AP71" s="1295">
        <f t="shared" si="9"/>
        <v>876731.93741128617</v>
      </c>
      <c r="AQ71" s="1295">
        <f t="shared" si="10"/>
        <v>876731.93741128617</v>
      </c>
    </row>
    <row r="72" spans="1:44">
      <c r="A72" s="1375">
        <f t="shared" si="7"/>
        <v>5</v>
      </c>
      <c r="B72" s="1393">
        <v>43769</v>
      </c>
      <c r="C72" s="1394"/>
      <c r="D72" s="1395"/>
      <c r="E72" s="1396"/>
      <c r="F72" s="1394">
        <v>509571.72485879995</v>
      </c>
      <c r="G72" s="1395">
        <f t="shared" si="4"/>
        <v>2.2492114543289147E-2</v>
      </c>
      <c r="H72" s="1396">
        <f t="shared" si="11"/>
        <v>6.1190406065407377E-2</v>
      </c>
      <c r="I72" s="1394">
        <v>509571.72485879995</v>
      </c>
      <c r="J72" s="1395">
        <f t="shared" si="5"/>
        <v>2.2492114543289147E-2</v>
      </c>
      <c r="K72" s="1396">
        <f t="shared" si="8"/>
        <v>6.1190406065407377E-2</v>
      </c>
      <c r="L72" s="1390" t="str">
        <f t="shared" ref="L72:M87" si="12">IF(J72&gt;=G72,"ADELANTADO","ATRASADO")</f>
        <v>ADELANTADO</v>
      </c>
      <c r="M72" s="1390" t="str">
        <f t="shared" si="12"/>
        <v>ADELANTADO</v>
      </c>
      <c r="N72" s="1346"/>
      <c r="O72" s="1346"/>
      <c r="P72" s="2213"/>
      <c r="Q72" s="2213"/>
      <c r="R72" s="2213"/>
      <c r="S72" s="2213"/>
      <c r="T72" s="2213"/>
      <c r="U72" s="2213"/>
      <c r="V72" s="2213"/>
      <c r="W72" s="2213"/>
      <c r="X72" s="2213"/>
      <c r="Y72" s="2213"/>
      <c r="Z72" s="2213"/>
      <c r="AA72" s="1346"/>
      <c r="AB72" s="1346"/>
      <c r="AC72" s="1346"/>
      <c r="AD72" s="1346"/>
      <c r="AE72" s="1346"/>
      <c r="AF72" s="1346"/>
      <c r="AG72" s="1346"/>
      <c r="AH72" s="1346"/>
      <c r="AI72" s="1346"/>
      <c r="AJ72" s="1346"/>
      <c r="AK72" s="1346"/>
      <c r="AL72" s="1346"/>
      <c r="AM72" s="1346"/>
      <c r="AN72" s="1346"/>
      <c r="AP72" s="1295">
        <f t="shared" si="9"/>
        <v>1386303.6622700861</v>
      </c>
      <c r="AQ72" s="1295">
        <f t="shared" si="10"/>
        <v>1386303.6622700861</v>
      </c>
    </row>
    <row r="73" spans="1:44" ht="15.6">
      <c r="A73" s="1375">
        <f t="shared" si="7"/>
        <v>6</v>
      </c>
      <c r="B73" s="1393">
        <v>43799</v>
      </c>
      <c r="C73" s="1394"/>
      <c r="D73" s="1395"/>
      <c r="E73" s="1396"/>
      <c r="F73" s="1394">
        <v>548883.38561104971</v>
      </c>
      <c r="G73" s="1395">
        <f t="shared" si="4"/>
        <v>2.4227301825847918E-2</v>
      </c>
      <c r="H73" s="1396">
        <f t="shared" si="11"/>
        <v>8.5417707891255301E-2</v>
      </c>
      <c r="I73" s="1394">
        <v>548883.38561104971</v>
      </c>
      <c r="J73" s="1395">
        <f t="shared" si="5"/>
        <v>2.4227301825847918E-2</v>
      </c>
      <c r="K73" s="1396">
        <f t="shared" si="8"/>
        <v>8.5417707891255301E-2</v>
      </c>
      <c r="L73" s="1390" t="str">
        <f t="shared" si="12"/>
        <v>ADELANTADO</v>
      </c>
      <c r="M73" s="1390" t="str">
        <f t="shared" si="12"/>
        <v>ADELANTADO</v>
      </c>
      <c r="N73" s="1346"/>
      <c r="O73" s="2205" t="s">
        <v>359</v>
      </c>
      <c r="P73" s="2217">
        <f>SUM(P66:P70)</f>
        <v>15563633.847100005</v>
      </c>
      <c r="Q73" s="2217">
        <f>SUM(Q66:Q70)</f>
        <v>16139451.003900005</v>
      </c>
      <c r="R73" s="2217">
        <f>SUM(R66:R71)</f>
        <v>20170843.125400007</v>
      </c>
      <c r="S73" s="2217">
        <f>SUM(S66:S71)</f>
        <v>20432066.599999994</v>
      </c>
      <c r="T73" s="2213"/>
      <c r="U73" s="2213"/>
      <c r="V73" s="2213"/>
      <c r="W73" s="2213"/>
      <c r="X73" s="2213"/>
      <c r="Y73" s="2213"/>
      <c r="Z73" s="2213"/>
      <c r="AA73" s="1346"/>
      <c r="AB73" s="1346"/>
      <c r="AC73" s="1346"/>
      <c r="AD73" s="1346"/>
      <c r="AE73" s="1346"/>
      <c r="AF73" s="1346"/>
      <c r="AG73" s="1346"/>
      <c r="AH73" s="1346"/>
      <c r="AI73" s="1346"/>
      <c r="AJ73" s="1346"/>
      <c r="AK73" s="1346"/>
      <c r="AL73" s="1346"/>
      <c r="AM73" s="1346"/>
      <c r="AN73" s="1346"/>
      <c r="AP73" s="1295">
        <f t="shared" si="9"/>
        <v>1935187.0478811357</v>
      </c>
      <c r="AQ73" s="1295">
        <f t="shared" si="10"/>
        <v>1935187.0478811357</v>
      </c>
    </row>
    <row r="74" spans="1:44">
      <c r="A74" s="1375">
        <f t="shared" si="7"/>
        <v>7</v>
      </c>
      <c r="B74" s="1393">
        <v>43830</v>
      </c>
      <c r="C74" s="1394"/>
      <c r="D74" s="1395"/>
      <c r="E74" s="1396"/>
      <c r="F74" s="1394">
        <v>566686.0553353033</v>
      </c>
      <c r="G74" s="1395">
        <f t="shared" si="4"/>
        <v>2.5013098342962777E-2</v>
      </c>
      <c r="H74" s="1396">
        <f t="shared" si="11"/>
        <v>0.11043080623421808</v>
      </c>
      <c r="I74" s="1394">
        <v>566686.0553353033</v>
      </c>
      <c r="J74" s="1395">
        <f t="shared" si="5"/>
        <v>2.5013098342962777E-2</v>
      </c>
      <c r="K74" s="1396">
        <f t="shared" si="8"/>
        <v>0.11043080623421808</v>
      </c>
      <c r="L74" s="1390" t="str">
        <f t="shared" si="12"/>
        <v>ADELANTADO</v>
      </c>
      <c r="M74" s="1390" t="str">
        <f t="shared" si="12"/>
        <v>ADELANTADO</v>
      </c>
      <c r="N74" s="1346"/>
      <c r="O74" s="1346"/>
      <c r="P74" s="1346"/>
      <c r="Q74" s="1346"/>
      <c r="R74" s="1346"/>
      <c r="S74" s="1346"/>
      <c r="T74" s="1346"/>
      <c r="U74" s="1346"/>
      <c r="V74" s="1346"/>
      <c r="W74" s="1346"/>
      <c r="X74" s="1346"/>
      <c r="Y74" s="1346"/>
      <c r="Z74" s="1346"/>
      <c r="AA74" s="1346"/>
      <c r="AB74" s="1346"/>
      <c r="AC74" s="1346"/>
      <c r="AD74" s="1346"/>
      <c r="AE74" s="1346"/>
      <c r="AF74" s="1346"/>
      <c r="AG74" s="1346"/>
      <c r="AH74" s="1346"/>
      <c r="AI74" s="1346"/>
      <c r="AJ74" s="1346"/>
      <c r="AK74" s="1346"/>
      <c r="AL74" s="1346"/>
      <c r="AM74" s="1346"/>
      <c r="AN74" s="1346"/>
      <c r="AP74" s="1295">
        <f t="shared" si="9"/>
        <v>2501873.103216439</v>
      </c>
      <c r="AQ74" s="1295">
        <f t="shared" si="10"/>
        <v>2501873.103216439</v>
      </c>
      <c r="AR74" s="1295">
        <f>AQ74-AP74</f>
        <v>0</v>
      </c>
    </row>
    <row r="75" spans="1:44">
      <c r="A75" s="1375">
        <f t="shared" si="7"/>
        <v>8</v>
      </c>
      <c r="B75" s="1393">
        <v>43861</v>
      </c>
      <c r="C75" s="1394"/>
      <c r="D75" s="1395"/>
      <c r="E75" s="1396"/>
      <c r="F75" s="1394">
        <v>150231.86396299998</v>
      </c>
      <c r="G75" s="1395">
        <f t="shared" si="4"/>
        <v>6.6311220333976411E-3</v>
      </c>
      <c r="H75" s="1396">
        <f t="shared" si="11"/>
        <v>0.11706192826761572</v>
      </c>
      <c r="I75" s="1394">
        <v>150231.86396299998</v>
      </c>
      <c r="J75" s="1395">
        <f t="shared" si="5"/>
        <v>6.6311220333976411E-3</v>
      </c>
      <c r="K75" s="1396">
        <f t="shared" si="8"/>
        <v>0.11706192826761572</v>
      </c>
      <c r="L75" s="1390" t="str">
        <f t="shared" si="12"/>
        <v>ADELANTADO</v>
      </c>
      <c r="M75" s="1390" t="str">
        <f t="shared" si="12"/>
        <v>ADELANTADO</v>
      </c>
      <c r="N75" s="1346"/>
      <c r="O75" s="1346"/>
      <c r="P75" s="1346"/>
      <c r="Q75" s="1346"/>
      <c r="R75" s="1346"/>
      <c r="S75" s="1346"/>
      <c r="T75" s="1346"/>
      <c r="U75" s="1346"/>
      <c r="V75" s="1346"/>
      <c r="W75" s="1346"/>
      <c r="X75" s="1346"/>
      <c r="Y75" s="1346"/>
      <c r="Z75" s="1346"/>
      <c r="AA75" s="1346"/>
      <c r="AB75" s="1346"/>
      <c r="AC75" s="1346"/>
      <c r="AD75" s="1346"/>
      <c r="AE75" s="1346"/>
      <c r="AF75" s="1346"/>
      <c r="AG75" s="1346"/>
      <c r="AH75" s="1346"/>
      <c r="AI75" s="1346"/>
      <c r="AJ75" s="1346"/>
      <c r="AK75" s="1346"/>
      <c r="AL75" s="1346"/>
      <c r="AM75" s="1346"/>
      <c r="AN75" s="1346"/>
      <c r="AP75" s="1295">
        <f t="shared" si="9"/>
        <v>2652104.967179439</v>
      </c>
      <c r="AQ75" s="1295">
        <f t="shared" si="10"/>
        <v>2652104.967179439</v>
      </c>
    </row>
    <row r="76" spans="1:44">
      <c r="A76" s="1375">
        <f t="shared" si="7"/>
        <v>9</v>
      </c>
      <c r="B76" s="1393">
        <v>43890</v>
      </c>
      <c r="C76" s="1394"/>
      <c r="D76" s="1395"/>
      <c r="E76" s="1396"/>
      <c r="F76" s="1394">
        <v>362432.44625150017</v>
      </c>
      <c r="G76" s="1395">
        <f t="shared" si="4"/>
        <v>1.5997496912828271E-2</v>
      </c>
      <c r="H76" s="1396">
        <f t="shared" si="11"/>
        <v>0.133059425180444</v>
      </c>
      <c r="I76" s="1394">
        <v>362432.44625150017</v>
      </c>
      <c r="J76" s="1395">
        <f t="shared" si="5"/>
        <v>1.5997496912828271E-2</v>
      </c>
      <c r="K76" s="1396">
        <f t="shared" si="8"/>
        <v>0.133059425180444</v>
      </c>
      <c r="L76" s="1391" t="str">
        <f t="shared" si="12"/>
        <v>ADELANTADO</v>
      </c>
      <c r="M76" s="1391" t="str">
        <f t="shared" si="12"/>
        <v>ADELANTADO</v>
      </c>
      <c r="N76" s="1346"/>
      <c r="O76" s="1346"/>
      <c r="P76" s="1346"/>
      <c r="Q76" s="1346"/>
      <c r="R76" s="1346"/>
      <c r="S76" s="1346"/>
      <c r="T76" s="1346"/>
      <c r="U76" s="1346"/>
      <c r="V76" s="1346"/>
      <c r="W76" s="1346"/>
      <c r="X76" s="1346"/>
      <c r="Y76" s="1346"/>
      <c r="Z76" s="1346"/>
      <c r="AA76" s="1346"/>
      <c r="AB76" s="1346"/>
      <c r="AC76" s="1346"/>
      <c r="AD76" s="1346"/>
      <c r="AE76" s="1346"/>
      <c r="AF76" s="1346"/>
      <c r="AG76" s="1346"/>
      <c r="AH76" s="1346"/>
      <c r="AI76" s="1346"/>
      <c r="AJ76" s="1346"/>
      <c r="AK76" s="1346"/>
      <c r="AL76" s="1346"/>
      <c r="AM76" s="1346"/>
      <c r="AN76" s="1346"/>
      <c r="AP76" s="1295">
        <f t="shared" si="9"/>
        <v>3014537.4134309394</v>
      </c>
      <c r="AQ76" s="1295">
        <f t="shared" si="10"/>
        <v>3014537.4134309394</v>
      </c>
    </row>
    <row r="77" spans="1:44">
      <c r="A77" s="1375">
        <f t="shared" si="7"/>
        <v>10</v>
      </c>
      <c r="B77" s="1393">
        <v>43921</v>
      </c>
      <c r="C77" s="1394"/>
      <c r="D77" s="1395"/>
      <c r="E77" s="1396"/>
      <c r="F77" s="1394">
        <v>278985.27599320019</v>
      </c>
      <c r="G77" s="1395">
        <f t="shared" si="4"/>
        <v>1.2314201274156176E-2</v>
      </c>
      <c r="H77" s="1396">
        <f>+G77+H76</f>
        <v>0.14537362645460017</v>
      </c>
      <c r="I77" s="1394">
        <v>278985.27599320019</v>
      </c>
      <c r="J77" s="1395">
        <f t="shared" si="5"/>
        <v>1.2314201274156176E-2</v>
      </c>
      <c r="K77" s="1396">
        <f t="shared" si="8"/>
        <v>0.14537362645460017</v>
      </c>
      <c r="L77" s="1391" t="str">
        <f t="shared" si="12"/>
        <v>ADELANTADO</v>
      </c>
      <c r="M77" s="1391" t="str">
        <f t="shared" si="12"/>
        <v>ADELANTADO</v>
      </c>
      <c r="N77" s="1346"/>
      <c r="O77" s="1346"/>
      <c r="P77" s="1346"/>
      <c r="Q77" s="1346"/>
      <c r="R77" s="1346"/>
      <c r="S77" s="1346"/>
      <c r="T77" s="1346"/>
      <c r="U77" s="1346"/>
      <c r="V77" s="1346"/>
      <c r="W77" s="1346"/>
      <c r="X77" s="1346"/>
      <c r="Y77" s="1346"/>
      <c r="Z77" s="1346"/>
      <c r="AA77" s="1346"/>
      <c r="AB77" s="1346"/>
      <c r="AC77" s="1346"/>
      <c r="AD77" s="1346"/>
      <c r="AE77" s="1346"/>
      <c r="AF77" s="1346"/>
      <c r="AG77" s="1346"/>
      <c r="AH77" s="1346"/>
      <c r="AI77" s="1346"/>
      <c r="AJ77" s="1346"/>
      <c r="AK77" s="1346"/>
      <c r="AL77" s="1346"/>
      <c r="AM77" s="1346"/>
      <c r="AN77" s="1346"/>
      <c r="AP77" s="1295">
        <f t="shared" si="9"/>
        <v>3293522.6894241394</v>
      </c>
      <c r="AQ77" s="1295">
        <f t="shared" si="10"/>
        <v>3293522.6894241394</v>
      </c>
    </row>
    <row r="78" spans="1:44">
      <c r="A78" s="1375">
        <f t="shared" si="7"/>
        <v>11</v>
      </c>
      <c r="B78" s="1393">
        <v>43951</v>
      </c>
      <c r="C78" s="1394"/>
      <c r="D78" s="1395"/>
      <c r="E78" s="1396"/>
      <c r="F78" s="1394">
        <v>0</v>
      </c>
      <c r="G78" s="1395">
        <f t="shared" si="4"/>
        <v>0</v>
      </c>
      <c r="H78" s="1396">
        <f t="shared" si="11"/>
        <v>0.14537362645460017</v>
      </c>
      <c r="I78" s="1394">
        <v>0</v>
      </c>
      <c r="J78" s="1395">
        <f t="shared" si="5"/>
        <v>0</v>
      </c>
      <c r="K78" s="1396">
        <f t="shared" si="8"/>
        <v>0.14537362645460017</v>
      </c>
      <c r="L78" s="1391" t="str">
        <f t="shared" si="12"/>
        <v>ADELANTADO</v>
      </c>
      <c r="M78" s="1391" t="str">
        <f t="shared" si="12"/>
        <v>ADELANTADO</v>
      </c>
      <c r="N78" s="1346"/>
      <c r="O78" s="1346"/>
      <c r="P78" s="1346"/>
      <c r="Q78" s="1346"/>
      <c r="R78" s="1346"/>
      <c r="S78" s="1346"/>
      <c r="T78" s="1346"/>
      <c r="U78" s="1346"/>
      <c r="V78" s="1346"/>
      <c r="W78" s="1346"/>
      <c r="X78" s="1346"/>
      <c r="Y78" s="1346"/>
      <c r="Z78" s="1346"/>
      <c r="AA78" s="1346"/>
      <c r="AB78" s="1346"/>
      <c r="AC78" s="1346"/>
      <c r="AD78" s="1346"/>
      <c r="AE78" s="1346"/>
      <c r="AF78" s="1346"/>
      <c r="AG78" s="1346"/>
      <c r="AH78" s="1346"/>
      <c r="AI78" s="1346"/>
      <c r="AJ78" s="1346"/>
      <c r="AK78" s="1346"/>
      <c r="AL78" s="1346"/>
      <c r="AM78" s="1346"/>
      <c r="AN78" s="1346"/>
      <c r="AP78" s="1295"/>
      <c r="AQ78" s="1295"/>
    </row>
    <row r="79" spans="1:44">
      <c r="A79" s="1375">
        <f t="shared" si="7"/>
        <v>12</v>
      </c>
      <c r="B79" s="1393">
        <v>43982</v>
      </c>
      <c r="C79" s="1394"/>
      <c r="D79" s="1395"/>
      <c r="E79" s="1396"/>
      <c r="F79" s="1394">
        <v>0</v>
      </c>
      <c r="G79" s="1395">
        <f t="shared" si="4"/>
        <v>0</v>
      </c>
      <c r="H79" s="1396">
        <f t="shared" si="11"/>
        <v>0.14537362645460017</v>
      </c>
      <c r="I79" s="1394">
        <v>0</v>
      </c>
      <c r="J79" s="1395">
        <f t="shared" si="5"/>
        <v>0</v>
      </c>
      <c r="K79" s="1396">
        <f t="shared" si="8"/>
        <v>0.14537362645460017</v>
      </c>
      <c r="L79" s="1391" t="str">
        <f t="shared" si="12"/>
        <v>ADELANTADO</v>
      </c>
      <c r="M79" s="1391" t="str">
        <f t="shared" si="12"/>
        <v>ADELANTADO</v>
      </c>
      <c r="N79" s="1346"/>
      <c r="O79" s="1346"/>
      <c r="P79" s="1346"/>
      <c r="Q79" s="1346"/>
      <c r="R79" s="1346"/>
      <c r="S79" s="1346"/>
      <c r="T79" s="1346"/>
      <c r="U79" s="1346"/>
      <c r="V79" s="1346"/>
      <c r="W79" s="1346"/>
      <c r="X79" s="1346"/>
      <c r="Y79" s="1346"/>
      <c r="Z79" s="1346"/>
      <c r="AA79" s="1346"/>
      <c r="AB79" s="1346"/>
      <c r="AC79" s="1346"/>
      <c r="AD79" s="1346"/>
      <c r="AE79" s="1346"/>
      <c r="AF79" s="1346"/>
      <c r="AG79" s="1346"/>
      <c r="AH79" s="1346"/>
      <c r="AI79" s="1346"/>
      <c r="AJ79" s="1346"/>
      <c r="AK79" s="1346"/>
      <c r="AL79" s="1346"/>
      <c r="AM79" s="1346"/>
      <c r="AN79" s="1346"/>
      <c r="AP79" s="1295"/>
      <c r="AQ79" s="1295"/>
    </row>
    <row r="80" spans="1:44">
      <c r="A80" s="1375">
        <f t="shared" si="7"/>
        <v>13</v>
      </c>
      <c r="B80" s="1393">
        <v>44012</v>
      </c>
      <c r="C80" s="1394"/>
      <c r="D80" s="1395"/>
      <c r="E80" s="1396"/>
      <c r="F80" s="1394">
        <v>10883.300000000001</v>
      </c>
      <c r="G80" s="1395">
        <f t="shared" si="4"/>
        <v>4.8038071632959734E-4</v>
      </c>
      <c r="H80" s="1396">
        <f t="shared" si="11"/>
        <v>0.14585400717092978</v>
      </c>
      <c r="I80" s="1394">
        <f>+Y63</f>
        <v>10883.300000000001</v>
      </c>
      <c r="J80" s="1395">
        <f t="shared" si="5"/>
        <v>4.8038071632959734E-4</v>
      </c>
      <c r="K80" s="1396">
        <f t="shared" si="8"/>
        <v>0.14585400717092978</v>
      </c>
      <c r="L80" s="1391" t="str">
        <f t="shared" si="12"/>
        <v>ADELANTADO</v>
      </c>
      <c r="M80" s="1391" t="str">
        <f t="shared" si="12"/>
        <v>ADELANTADO</v>
      </c>
      <c r="N80" s="1346"/>
      <c r="O80" s="1346"/>
      <c r="P80" s="1346"/>
      <c r="Q80" s="1346"/>
      <c r="R80" s="1346"/>
      <c r="S80" s="1346"/>
      <c r="T80" s="1346"/>
      <c r="U80" s="1346"/>
      <c r="V80" s="1346"/>
      <c r="W80" s="1346"/>
      <c r="X80" s="1346"/>
      <c r="Y80" s="1346"/>
      <c r="Z80" s="1346"/>
      <c r="AA80" s="1346"/>
      <c r="AB80" s="1346"/>
      <c r="AC80" s="1346"/>
      <c r="AD80" s="1346"/>
      <c r="AE80" s="1346"/>
      <c r="AF80" s="1346"/>
      <c r="AG80" s="1346"/>
      <c r="AH80" s="1346"/>
      <c r="AI80" s="1346"/>
      <c r="AJ80" s="1346"/>
      <c r="AK80" s="1346"/>
      <c r="AL80" s="1346"/>
      <c r="AM80" s="1346"/>
      <c r="AN80" s="1346"/>
      <c r="AP80" s="1295"/>
      <c r="AQ80" s="1295"/>
    </row>
    <row r="81" spans="1:43">
      <c r="A81" s="1375">
        <f t="shared" si="7"/>
        <v>14</v>
      </c>
      <c r="B81" s="1393">
        <v>44043</v>
      </c>
      <c r="C81" s="1394"/>
      <c r="D81" s="1395"/>
      <c r="E81" s="1396"/>
      <c r="F81" s="1394">
        <v>718732.04767999949</v>
      </c>
      <c r="G81" s="1395">
        <f t="shared" si="4"/>
        <v>3.1724294645333349E-2</v>
      </c>
      <c r="H81" s="1396">
        <f t="shared" si="11"/>
        <v>0.17757830181626313</v>
      </c>
      <c r="I81" s="1394">
        <f>+Z63</f>
        <v>718732.04767999949</v>
      </c>
      <c r="J81" s="1395">
        <f t="shared" si="5"/>
        <v>3.1724294645333349E-2</v>
      </c>
      <c r="K81" s="1396">
        <f t="shared" si="8"/>
        <v>0.17757830181626313</v>
      </c>
      <c r="L81" s="1391" t="str">
        <f t="shared" si="12"/>
        <v>ADELANTADO</v>
      </c>
      <c r="M81" s="1391" t="str">
        <f t="shared" si="12"/>
        <v>ADELANTADO</v>
      </c>
      <c r="N81" s="1346"/>
      <c r="O81" s="1346"/>
      <c r="P81" s="1346"/>
      <c r="Q81" s="1346"/>
      <c r="R81" s="1346"/>
      <c r="S81" s="1346"/>
      <c r="T81" s="1346"/>
      <c r="U81" s="1346"/>
      <c r="V81" s="1346"/>
      <c r="W81" s="1346"/>
      <c r="X81" s="1346"/>
      <c r="Y81" s="1346"/>
      <c r="Z81" s="1346"/>
      <c r="AA81" s="1346"/>
      <c r="AB81" s="1346"/>
      <c r="AC81" s="1346"/>
      <c r="AD81" s="1346"/>
      <c r="AE81" s="1346"/>
      <c r="AF81" s="1346"/>
      <c r="AG81" s="1346"/>
      <c r="AH81" s="1346"/>
      <c r="AI81" s="1346"/>
      <c r="AJ81" s="1346"/>
      <c r="AK81" s="1346"/>
      <c r="AL81" s="1346"/>
      <c r="AM81" s="1346"/>
      <c r="AN81" s="1346"/>
      <c r="AP81" s="1295"/>
      <c r="AQ81" s="1295"/>
    </row>
    <row r="82" spans="1:43">
      <c r="A82" s="1375">
        <f t="shared" si="7"/>
        <v>15</v>
      </c>
      <c r="B82" s="1393">
        <v>44074</v>
      </c>
      <c r="C82" s="1394"/>
      <c r="D82" s="1395"/>
      <c r="E82" s="1396"/>
      <c r="F82" s="1394">
        <v>615154.61599999992</v>
      </c>
      <c r="G82" s="1395">
        <f t="shared" si="4"/>
        <v>2.715246433412093E-2</v>
      </c>
      <c r="H82" s="1396">
        <f t="shared" si="11"/>
        <v>0.20473076615038407</v>
      </c>
      <c r="I82" s="1394">
        <f>+AA63</f>
        <v>615154.61599999992</v>
      </c>
      <c r="J82" s="1395">
        <f t="shared" si="5"/>
        <v>2.715246433412093E-2</v>
      </c>
      <c r="K82" s="1396">
        <f t="shared" si="8"/>
        <v>0.20473076615038407</v>
      </c>
      <c r="L82" s="1391" t="str">
        <f t="shared" si="12"/>
        <v>ADELANTADO</v>
      </c>
      <c r="M82" s="1391" t="str">
        <f t="shared" si="12"/>
        <v>ADELANTADO</v>
      </c>
      <c r="N82" s="1346"/>
      <c r="O82" s="1346"/>
      <c r="P82" s="1346"/>
      <c r="Q82" s="1346"/>
      <c r="R82" s="1346"/>
      <c r="S82" s="1346"/>
      <c r="T82" s="1346"/>
      <c r="U82" s="1346"/>
      <c r="V82" s="1346"/>
      <c r="W82" s="1346"/>
      <c r="X82" s="1346"/>
      <c r="Y82" s="1346"/>
      <c r="Z82" s="1346"/>
      <c r="AA82" s="1346"/>
      <c r="AB82" s="1346"/>
      <c r="AC82" s="1346"/>
      <c r="AD82" s="1346"/>
      <c r="AE82" s="1346"/>
      <c r="AF82" s="1346"/>
      <c r="AG82" s="1346"/>
      <c r="AH82" s="1346"/>
      <c r="AI82" s="1346"/>
      <c r="AJ82" s="1346"/>
      <c r="AK82" s="1346"/>
      <c r="AL82" s="1346"/>
      <c r="AM82" s="1346"/>
      <c r="AN82" s="1346"/>
      <c r="AP82" s="1295"/>
      <c r="AQ82" s="1295"/>
    </row>
    <row r="83" spans="1:43">
      <c r="A83" s="1375">
        <f t="shared" si="7"/>
        <v>16</v>
      </c>
      <c r="B83" s="1393">
        <v>44104</v>
      </c>
      <c r="C83" s="1394"/>
      <c r="D83" s="1395"/>
      <c r="E83" s="1396"/>
      <c r="F83" s="1394">
        <v>433137.69059099996</v>
      </c>
      <c r="G83" s="1395">
        <f t="shared" si="4"/>
        <v>1.9118373478214514E-2</v>
      </c>
      <c r="H83" s="1396">
        <f t="shared" si="11"/>
        <v>0.22384913962859859</v>
      </c>
      <c r="I83" s="1394">
        <f>+AB63</f>
        <v>433137.69059099996</v>
      </c>
      <c r="J83" s="1395">
        <f t="shared" si="5"/>
        <v>1.9118373478214514E-2</v>
      </c>
      <c r="K83" s="1396">
        <f t="shared" si="8"/>
        <v>0.22384913962859859</v>
      </c>
      <c r="L83" s="1391" t="str">
        <f t="shared" si="12"/>
        <v>ADELANTADO</v>
      </c>
      <c r="M83" s="1391" t="str">
        <f t="shared" si="12"/>
        <v>ADELANTADO</v>
      </c>
      <c r="N83" s="1346"/>
      <c r="O83" s="1346"/>
      <c r="P83" s="1346"/>
      <c r="Q83" s="1346"/>
      <c r="R83" s="1346"/>
      <c r="S83" s="1346"/>
      <c r="T83" s="1346"/>
      <c r="U83" s="1346"/>
      <c r="V83" s="1346"/>
      <c r="W83" s="1346"/>
      <c r="X83" s="1346"/>
      <c r="Y83" s="1346"/>
      <c r="Z83" s="1346"/>
      <c r="AA83" s="1346"/>
      <c r="AB83" s="1346"/>
      <c r="AC83" s="1346"/>
      <c r="AD83" s="1346"/>
      <c r="AE83" s="1346"/>
      <c r="AF83" s="1346"/>
      <c r="AG83" s="1346"/>
      <c r="AH83" s="1346"/>
      <c r="AI83" s="1346"/>
      <c r="AJ83" s="1346"/>
      <c r="AK83" s="1346"/>
      <c r="AL83" s="1346"/>
      <c r="AM83" s="1346"/>
      <c r="AN83" s="1346"/>
      <c r="AP83" s="1295"/>
      <c r="AQ83" s="1295"/>
    </row>
    <row r="84" spans="1:43" s="1450" customFormat="1">
      <c r="A84" s="1375">
        <f t="shared" si="7"/>
        <v>17</v>
      </c>
      <c r="B84" s="1444">
        <v>44135</v>
      </c>
      <c r="C84" s="1445"/>
      <c r="D84" s="1446"/>
      <c r="E84" s="1447"/>
      <c r="F84" s="1445">
        <v>537925.3792812482</v>
      </c>
      <c r="G84" s="1395">
        <f t="shared" si="4"/>
        <v>2.3743623628035275E-2</v>
      </c>
      <c r="H84" s="1447">
        <f t="shared" si="11"/>
        <v>0.24759276325663387</v>
      </c>
      <c r="I84" s="1445">
        <f>+AC63</f>
        <v>537925.3792812482</v>
      </c>
      <c r="J84" s="1395">
        <f t="shared" si="5"/>
        <v>2.3743623628035275E-2</v>
      </c>
      <c r="K84" s="1447">
        <f t="shared" si="8"/>
        <v>0.24759276325663387</v>
      </c>
      <c r="L84" s="1448" t="str">
        <f t="shared" si="12"/>
        <v>ADELANTADO</v>
      </c>
      <c r="M84" s="1448" t="str">
        <f t="shared" si="12"/>
        <v>ADELANTADO</v>
      </c>
      <c r="N84" s="1449"/>
      <c r="O84" s="1449"/>
      <c r="P84" s="1449"/>
      <c r="Q84" s="1449"/>
      <c r="R84" s="1449"/>
      <c r="S84" s="1449"/>
      <c r="T84" s="1449"/>
      <c r="U84" s="1449"/>
      <c r="V84" s="1449"/>
      <c r="W84" s="1449"/>
      <c r="X84" s="1449"/>
      <c r="Y84" s="1449"/>
      <c r="Z84" s="1449"/>
      <c r="AA84" s="1449"/>
      <c r="AB84" s="1449"/>
      <c r="AC84" s="1449"/>
      <c r="AD84" s="1449"/>
      <c r="AE84" s="1449"/>
      <c r="AF84" s="1449"/>
      <c r="AG84" s="1449"/>
      <c r="AH84" s="1449"/>
      <c r="AI84" s="1449"/>
      <c r="AJ84" s="1449"/>
      <c r="AK84" s="1449"/>
      <c r="AL84" s="1449"/>
      <c r="AM84" s="1449"/>
      <c r="AN84" s="1449"/>
      <c r="AP84" s="1451"/>
      <c r="AQ84" s="1451"/>
    </row>
    <row r="85" spans="1:43">
      <c r="A85" s="1375">
        <f t="shared" si="7"/>
        <v>18</v>
      </c>
      <c r="B85" s="1444">
        <v>44165</v>
      </c>
      <c r="C85" s="1445"/>
      <c r="D85" s="1446"/>
      <c r="E85" s="1447"/>
      <c r="F85" s="1445">
        <v>893804.87490000005</v>
      </c>
      <c r="G85" s="1395">
        <f t="shared" si="4"/>
        <v>3.9451878204528786E-2</v>
      </c>
      <c r="H85" s="1396">
        <f t="shared" si="11"/>
        <v>0.28704464146116265</v>
      </c>
      <c r="I85" s="1445">
        <f>+AD63</f>
        <v>893804.87490000005</v>
      </c>
      <c r="J85" s="1395">
        <f t="shared" si="5"/>
        <v>3.9451878204528786E-2</v>
      </c>
      <c r="K85" s="1447">
        <f t="shared" si="8"/>
        <v>0.28704464146116265</v>
      </c>
      <c r="L85" s="1448" t="str">
        <f t="shared" si="12"/>
        <v>ADELANTADO</v>
      </c>
      <c r="M85" s="1448" t="str">
        <f t="shared" si="12"/>
        <v>ADELANTADO</v>
      </c>
      <c r="N85" s="1346"/>
      <c r="O85" s="1346"/>
      <c r="P85" s="1346"/>
      <c r="Q85" s="1346"/>
      <c r="R85" s="1346"/>
      <c r="S85" s="1346"/>
      <c r="T85" s="1346"/>
      <c r="U85" s="1346"/>
      <c r="V85" s="1346"/>
      <c r="W85" s="1346"/>
      <c r="X85" s="1346"/>
      <c r="Y85" s="1346"/>
      <c r="Z85" s="1346"/>
      <c r="AA85" s="1346"/>
      <c r="AB85" s="1346"/>
      <c r="AC85" s="1346"/>
      <c r="AD85" s="1346"/>
      <c r="AE85" s="1346"/>
      <c r="AF85" s="1346"/>
      <c r="AG85" s="1346"/>
      <c r="AH85" s="1346"/>
      <c r="AI85" s="1346"/>
      <c r="AJ85" s="1346"/>
      <c r="AK85" s="1346"/>
      <c r="AL85" s="1346"/>
      <c r="AM85" s="1346"/>
      <c r="AN85" s="1346"/>
      <c r="AP85" s="1295"/>
      <c r="AQ85" s="1295"/>
    </row>
    <row r="86" spans="1:43">
      <c r="A86" s="1375">
        <f t="shared" si="7"/>
        <v>19</v>
      </c>
      <c r="B86" s="1444">
        <v>44196</v>
      </c>
      <c r="C86" s="1445"/>
      <c r="D86" s="1446"/>
      <c r="E86" s="1447"/>
      <c r="F86" s="1445">
        <v>1198303.2483999999</v>
      </c>
      <c r="G86" s="1395">
        <f t="shared" si="4"/>
        <v>5.2892208507206023E-2</v>
      </c>
      <c r="H86" s="1396">
        <f t="shared" si="11"/>
        <v>0.3399368499683687</v>
      </c>
      <c r="I86" s="1445">
        <f>+AE63</f>
        <v>1198303.2483999999</v>
      </c>
      <c r="J86" s="1395">
        <f t="shared" si="5"/>
        <v>5.2892208507206023E-2</v>
      </c>
      <c r="K86" s="1447">
        <f t="shared" si="8"/>
        <v>0.3399368499683687</v>
      </c>
      <c r="L86" s="1448" t="str">
        <f t="shared" si="12"/>
        <v>ADELANTADO</v>
      </c>
      <c r="M86" s="1448" t="str">
        <f t="shared" si="12"/>
        <v>ADELANTADO</v>
      </c>
      <c r="N86" s="1346"/>
      <c r="O86" s="1346"/>
      <c r="P86" s="1346"/>
      <c r="Q86" s="1346"/>
      <c r="R86" s="1346"/>
      <c r="S86" s="1346"/>
      <c r="T86" s="1346"/>
      <c r="U86" s="1346"/>
      <c r="V86" s="1346"/>
      <c r="W86" s="1346"/>
      <c r="X86" s="1346"/>
      <c r="Y86" s="1346"/>
      <c r="Z86" s="1346"/>
      <c r="AA86" s="1346"/>
      <c r="AB86" s="1346"/>
      <c r="AC86" s="1346"/>
      <c r="AD86" s="1346"/>
      <c r="AE86" s="1346"/>
      <c r="AF86" s="1346"/>
      <c r="AG86" s="1346"/>
      <c r="AH86" s="1346"/>
      <c r="AI86" s="1346"/>
      <c r="AJ86" s="1346"/>
      <c r="AK86" s="1346"/>
      <c r="AL86" s="1346"/>
      <c r="AM86" s="1346"/>
      <c r="AN86" s="1346"/>
      <c r="AP86" s="1295"/>
      <c r="AQ86" s="1295"/>
    </row>
    <row r="87" spans="1:43">
      <c r="A87" s="1375">
        <f>+A86+1</f>
        <v>20</v>
      </c>
      <c r="B87" s="1444">
        <v>44227</v>
      </c>
      <c r="C87" s="1445"/>
      <c r="D87" s="1446"/>
      <c r="E87" s="1447"/>
      <c r="F87" s="1445">
        <v>290175.82593217224</v>
      </c>
      <c r="G87" s="1395">
        <f t="shared" si="4"/>
        <v>1.2808143772828962E-2</v>
      </c>
      <c r="H87" s="1447">
        <f>G87+H86</f>
        <v>0.35274499374119767</v>
      </c>
      <c r="I87" s="1445">
        <f>+AF63</f>
        <v>290175.82593217224</v>
      </c>
      <c r="J87" s="1395">
        <f t="shared" si="5"/>
        <v>1.2808143772828962E-2</v>
      </c>
      <c r="K87" s="1447">
        <f>J87+K86</f>
        <v>0.35274499374119767</v>
      </c>
      <c r="L87" s="1448" t="str">
        <f>IF(J87&gt;=G87,"ADELANTADO","ATRASADO")</f>
        <v>ADELANTADO</v>
      </c>
      <c r="M87" s="1448" t="str">
        <f t="shared" si="12"/>
        <v>ADELANTADO</v>
      </c>
      <c r="N87" s="1346"/>
      <c r="O87" s="1346"/>
      <c r="P87" s="1346"/>
      <c r="Q87" s="1346"/>
      <c r="R87" s="1346"/>
      <c r="S87" s="1346"/>
      <c r="T87" s="1346"/>
      <c r="U87" s="1346"/>
      <c r="V87" s="1346"/>
      <c r="W87" s="1346"/>
      <c r="X87" s="1346"/>
      <c r="Y87" s="1346"/>
      <c r="Z87" s="1346"/>
      <c r="AA87" s="1346"/>
      <c r="AB87" s="1346"/>
      <c r="AC87" s="1346"/>
      <c r="AD87" s="1346"/>
      <c r="AE87" s="1346"/>
      <c r="AF87" s="1346"/>
      <c r="AG87" s="1346"/>
      <c r="AH87" s="1346"/>
      <c r="AI87" s="1346"/>
      <c r="AJ87" s="1346"/>
      <c r="AK87" s="1346"/>
      <c r="AL87" s="1346"/>
      <c r="AM87" s="1346"/>
      <c r="AN87" s="1346"/>
      <c r="AP87" s="1295"/>
      <c r="AQ87" s="1295"/>
    </row>
    <row r="88" spans="1:43">
      <c r="A88" s="1375">
        <f t="shared" si="7"/>
        <v>21</v>
      </c>
      <c r="B88" s="1444">
        <v>44255</v>
      </c>
      <c r="C88" s="1445"/>
      <c r="D88" s="1446"/>
      <c r="E88" s="1447"/>
      <c r="F88" s="1445">
        <v>0</v>
      </c>
      <c r="G88" s="1395">
        <f t="shared" si="4"/>
        <v>0</v>
      </c>
      <c r="H88" s="1447">
        <f t="shared" si="11"/>
        <v>0.35274499374119767</v>
      </c>
      <c r="I88" s="1445">
        <v>0</v>
      </c>
      <c r="J88" s="1395">
        <f t="shared" si="5"/>
        <v>0</v>
      </c>
      <c r="K88" s="1447">
        <f t="shared" si="8"/>
        <v>0.35274499374119767</v>
      </c>
      <c r="L88" s="1448" t="str">
        <f>IF(J88&gt;=G88,"ADELANTADO","ATRASADO")</f>
        <v>ADELANTADO</v>
      </c>
      <c r="M88" s="1448" t="str">
        <f t="shared" ref="M88:M90" si="13">IF(K88&gt;=H88,"ADELANTADO","ATRASADO")</f>
        <v>ADELANTADO</v>
      </c>
      <c r="N88" s="1346"/>
      <c r="O88" s="1346"/>
      <c r="P88" s="1346"/>
      <c r="Q88" s="1346"/>
      <c r="R88" s="1346"/>
      <c r="S88" s="1346"/>
      <c r="T88" s="1346"/>
      <c r="U88" s="1346"/>
      <c r="V88" s="1346"/>
      <c r="W88" s="1346"/>
      <c r="X88" s="1346"/>
      <c r="Y88" s="1346"/>
      <c r="Z88" s="1346"/>
      <c r="AA88" s="1346"/>
      <c r="AB88" s="1346"/>
      <c r="AC88" s="1346"/>
      <c r="AD88" s="1346"/>
      <c r="AE88" s="1346"/>
      <c r="AF88" s="1346"/>
      <c r="AG88" s="1346"/>
      <c r="AH88" s="1346"/>
      <c r="AI88" s="1346"/>
      <c r="AJ88" s="1346"/>
      <c r="AK88" s="1346"/>
      <c r="AL88" s="1346"/>
      <c r="AM88" s="1346"/>
      <c r="AN88" s="1346"/>
      <c r="AP88" s="1295"/>
      <c r="AQ88" s="1295"/>
    </row>
    <row r="89" spans="1:43">
      <c r="A89" s="1375">
        <f t="shared" si="7"/>
        <v>22</v>
      </c>
      <c r="B89" s="1444">
        <v>44286</v>
      </c>
      <c r="C89" s="1445"/>
      <c r="D89" s="1446"/>
      <c r="E89" s="1447"/>
      <c r="F89" s="1445">
        <v>739551.09941010596</v>
      </c>
      <c r="G89" s="1395">
        <f t="shared" si="4"/>
        <v>3.2643232006557561E-2</v>
      </c>
      <c r="H89" s="1447">
        <f t="shared" si="11"/>
        <v>0.38538822574775522</v>
      </c>
      <c r="I89" s="1445">
        <f>+AH63</f>
        <v>739551.09941010596</v>
      </c>
      <c r="J89" s="1395">
        <f t="shared" si="5"/>
        <v>3.2643232006557561E-2</v>
      </c>
      <c r="K89" s="1447">
        <f t="shared" si="8"/>
        <v>0.38538822574775522</v>
      </c>
      <c r="L89" s="1448" t="str">
        <f>IF(J89&gt;=G89,"ADELANTADO","ATRASADO")</f>
        <v>ADELANTADO</v>
      </c>
      <c r="M89" s="1448" t="str">
        <f t="shared" si="13"/>
        <v>ADELANTADO</v>
      </c>
      <c r="N89" s="1346"/>
      <c r="O89" s="1346"/>
      <c r="P89" s="1346"/>
      <c r="Q89" s="1346"/>
      <c r="R89" s="1346"/>
      <c r="S89" s="1346"/>
      <c r="T89" s="1346"/>
      <c r="U89" s="1346"/>
      <c r="V89" s="1346"/>
      <c r="W89" s="1346"/>
      <c r="X89" s="1346"/>
      <c r="Y89" s="1346"/>
      <c r="Z89" s="1346"/>
      <c r="AA89" s="1346"/>
      <c r="AB89" s="1346"/>
      <c r="AC89" s="1346"/>
      <c r="AD89" s="1346"/>
      <c r="AE89" s="1346"/>
      <c r="AF89" s="1346"/>
      <c r="AG89" s="1346"/>
      <c r="AH89" s="1346"/>
      <c r="AI89" s="1346"/>
      <c r="AJ89" s="1346"/>
      <c r="AK89" s="1346"/>
      <c r="AL89" s="1346"/>
      <c r="AM89" s="1346"/>
      <c r="AN89" s="1346"/>
      <c r="AP89" s="1295"/>
      <c r="AQ89" s="1295"/>
    </row>
    <row r="90" spans="1:43">
      <c r="A90" s="1375">
        <f t="shared" si="7"/>
        <v>23</v>
      </c>
      <c r="B90" s="1444">
        <v>44316</v>
      </c>
      <c r="C90" s="1445"/>
      <c r="D90" s="1446"/>
      <c r="E90" s="1447"/>
      <c r="F90" s="1445">
        <v>786986.7972846406</v>
      </c>
      <c r="G90" s="1395">
        <f t="shared" si="4"/>
        <v>3.4737008207210242E-2</v>
      </c>
      <c r="H90" s="1447">
        <f t="shared" si="11"/>
        <v>0.42012523395496548</v>
      </c>
      <c r="I90" s="1445">
        <f>+AI63</f>
        <v>786986.7972846406</v>
      </c>
      <c r="J90" s="1395">
        <f t="shared" si="5"/>
        <v>3.4737008207210242E-2</v>
      </c>
      <c r="K90" s="1447">
        <f t="shared" si="8"/>
        <v>0.42012523395496548</v>
      </c>
      <c r="L90" s="1448" t="str">
        <f>IF(J90&gt;=G90,"ADELANTADO","ATRASADO")</f>
        <v>ADELANTADO</v>
      </c>
      <c r="M90" s="1448" t="str">
        <f t="shared" si="13"/>
        <v>ADELANTADO</v>
      </c>
      <c r="N90" s="1346"/>
      <c r="O90" s="1346"/>
      <c r="P90" s="1346"/>
      <c r="Q90" s="1346"/>
      <c r="R90" s="1346"/>
      <c r="S90" s="1346"/>
      <c r="T90" s="1346"/>
      <c r="U90" s="1346"/>
      <c r="V90" s="1346"/>
      <c r="W90" s="1346"/>
      <c r="X90" s="1346"/>
      <c r="Y90" s="1346"/>
      <c r="Z90" s="1346"/>
      <c r="AA90" s="1346"/>
      <c r="AB90" s="1346"/>
      <c r="AC90" s="1346"/>
      <c r="AD90" s="1346"/>
      <c r="AE90" s="1346"/>
      <c r="AF90" s="1346"/>
      <c r="AG90" s="1346"/>
      <c r="AH90" s="1346"/>
      <c r="AI90" s="1346"/>
      <c r="AJ90" s="1346"/>
      <c r="AK90" s="1346"/>
      <c r="AL90" s="1346"/>
      <c r="AM90" s="1346"/>
      <c r="AN90" s="1346"/>
      <c r="AP90" s="1295"/>
      <c r="AQ90" s="1295"/>
    </row>
    <row r="91" spans="1:43">
      <c r="A91" s="1375">
        <f t="shared" si="7"/>
        <v>24</v>
      </c>
      <c r="B91" s="1444">
        <v>44346</v>
      </c>
      <c r="C91" s="1445"/>
      <c r="D91" s="1446"/>
      <c r="E91" s="1447"/>
      <c r="F91" s="1445">
        <v>748512.35712756019</v>
      </c>
      <c r="G91" s="1395">
        <f t="shared" si="4"/>
        <v>3.3038775215099528E-2</v>
      </c>
      <c r="H91" s="1447">
        <f t="shared" ref="H91:H92" si="14">G91+H90</f>
        <v>0.453164009170065</v>
      </c>
      <c r="I91" s="1445">
        <f>+AJ63</f>
        <v>748512.35712756019</v>
      </c>
      <c r="J91" s="1395">
        <f t="shared" si="5"/>
        <v>3.3038775215099528E-2</v>
      </c>
      <c r="K91" s="1447">
        <f t="shared" si="8"/>
        <v>0.453164009170065</v>
      </c>
      <c r="L91" s="1448" t="str">
        <f t="shared" ref="L91:L92" si="15">IF(J91&gt;=G91,"ADELANTADO","ATRASADO")</f>
        <v>ADELANTADO</v>
      </c>
      <c r="M91" s="1448" t="str">
        <f t="shared" ref="M91:M92" si="16">IF(K91&gt;=H91,"ADELANTADO","ATRASADO")</f>
        <v>ADELANTADO</v>
      </c>
      <c r="N91" s="1346"/>
      <c r="O91" s="1346"/>
      <c r="P91" s="1346"/>
      <c r="Q91" s="1346"/>
      <c r="R91" s="1346"/>
      <c r="S91" s="1346"/>
      <c r="T91" s="1346"/>
      <c r="U91" s="1346"/>
      <c r="V91" s="1346"/>
      <c r="W91" s="1346"/>
      <c r="X91" s="1346"/>
      <c r="Y91" s="1346"/>
      <c r="Z91" s="1346"/>
      <c r="AA91" s="1346"/>
      <c r="AB91" s="1346"/>
      <c r="AC91" s="1346"/>
      <c r="AD91" s="1346"/>
      <c r="AE91" s="1346"/>
      <c r="AF91" s="1346"/>
      <c r="AG91" s="1346"/>
      <c r="AH91" s="1346"/>
      <c r="AI91" s="1346"/>
      <c r="AJ91" s="1346"/>
      <c r="AK91" s="1346"/>
      <c r="AL91" s="1346"/>
      <c r="AM91" s="1346"/>
      <c r="AN91" s="1346"/>
      <c r="AP91" s="1295"/>
      <c r="AQ91" s="1295"/>
    </row>
    <row r="92" spans="1:43">
      <c r="A92" s="1375">
        <f t="shared" si="7"/>
        <v>25</v>
      </c>
      <c r="B92" s="1444">
        <v>44377</v>
      </c>
      <c r="C92" s="1445"/>
      <c r="D92" s="1446"/>
      <c r="E92" s="1447"/>
      <c r="F92" s="1445">
        <v>734104.83104864007</v>
      </c>
      <c r="G92" s="1395">
        <f t="shared" si="4"/>
        <v>3.2402837797374302E-2</v>
      </c>
      <c r="H92" s="1447">
        <f t="shared" si="14"/>
        <v>0.48556684696743929</v>
      </c>
      <c r="I92" s="1445">
        <v>734104.83104864007</v>
      </c>
      <c r="J92" s="1395">
        <f t="shared" si="5"/>
        <v>3.2402837797374302E-2</v>
      </c>
      <c r="K92" s="1447">
        <f t="shared" si="8"/>
        <v>0.48556684696743929</v>
      </c>
      <c r="L92" s="1448" t="str">
        <f t="shared" si="15"/>
        <v>ADELANTADO</v>
      </c>
      <c r="M92" s="1448" t="str">
        <f t="shared" si="16"/>
        <v>ADELANTADO</v>
      </c>
      <c r="N92" s="1346"/>
      <c r="O92" s="1346"/>
      <c r="P92" s="1346"/>
      <c r="Q92" s="1346"/>
      <c r="R92" s="1346"/>
      <c r="S92" s="1346"/>
      <c r="T92" s="1346"/>
      <c r="U92" s="1346"/>
      <c r="V92" s="1346"/>
      <c r="W92" s="1346"/>
      <c r="X92" s="1346"/>
      <c r="Y92" s="1346"/>
      <c r="Z92" s="1346"/>
      <c r="AA92" s="1346"/>
      <c r="AB92" s="1346"/>
      <c r="AC92" s="1346"/>
      <c r="AD92" s="1346"/>
      <c r="AE92" s="1346"/>
      <c r="AF92" s="1346"/>
      <c r="AG92" s="1346"/>
      <c r="AH92" s="1346"/>
      <c r="AI92" s="1346"/>
      <c r="AJ92" s="1346"/>
      <c r="AK92" s="1346"/>
      <c r="AL92" s="1346"/>
      <c r="AM92" s="1346"/>
      <c r="AN92" s="1346"/>
      <c r="AP92" s="1295"/>
      <c r="AQ92" s="1295"/>
    </row>
    <row r="93" spans="1:43">
      <c r="A93" s="1375">
        <f t="shared" si="7"/>
        <v>26</v>
      </c>
      <c r="B93" s="1444">
        <v>44408</v>
      </c>
      <c r="C93" s="1445"/>
      <c r="D93" s="1446"/>
      <c r="E93" s="1447"/>
      <c r="F93" s="1445">
        <v>722254.07459729782</v>
      </c>
      <c r="G93" s="1395">
        <f t="shared" si="4"/>
        <v>3.1879754277380969E-2</v>
      </c>
      <c r="H93" s="1447">
        <f t="shared" ref="H93" si="17">G93+H92</f>
        <v>0.51744660124482023</v>
      </c>
      <c r="I93" s="1445">
        <v>722254.07459729782</v>
      </c>
      <c r="J93" s="1395">
        <f t="shared" si="5"/>
        <v>3.1879754277380969E-2</v>
      </c>
      <c r="K93" s="1447">
        <f t="shared" ref="K93" si="18">J93+K92</f>
        <v>0.51744660124482023</v>
      </c>
      <c r="L93" s="1448" t="str">
        <f t="shared" ref="L93" si="19">IF(J93&gt;=G93,"ADELANTADO","ATRASADO")</f>
        <v>ADELANTADO</v>
      </c>
      <c r="M93" s="1448" t="str">
        <f t="shared" ref="M93" si="20">IF(K93&gt;=H93,"ADELANTADO","ATRASADO")</f>
        <v>ADELANTADO</v>
      </c>
      <c r="N93" s="1346"/>
      <c r="O93" s="1346"/>
      <c r="P93" s="1346"/>
      <c r="Q93" s="1346"/>
      <c r="R93" s="1346"/>
      <c r="S93" s="1346"/>
      <c r="T93" s="1346"/>
      <c r="U93" s="1346"/>
      <c r="V93" s="1346"/>
      <c r="W93" s="1346"/>
      <c r="X93" s="1346"/>
      <c r="Y93" s="1346"/>
      <c r="Z93" s="1346"/>
      <c r="AA93" s="1346"/>
      <c r="AB93" s="1346"/>
      <c r="AC93" s="1346"/>
      <c r="AD93" s="1346"/>
      <c r="AE93" s="1346"/>
      <c r="AF93" s="1346"/>
      <c r="AG93" s="1346"/>
      <c r="AH93" s="1346"/>
      <c r="AI93" s="1346"/>
      <c r="AJ93" s="1346"/>
      <c r="AK93" s="1346"/>
      <c r="AL93" s="1346"/>
      <c r="AM93" s="1346"/>
      <c r="AN93" s="1346"/>
      <c r="AP93" s="1295"/>
      <c r="AQ93" s="1295"/>
    </row>
    <row r="94" spans="1:43">
      <c r="A94" s="1375">
        <f t="shared" si="7"/>
        <v>27</v>
      </c>
      <c r="B94" s="1444">
        <v>44439</v>
      </c>
      <c r="C94" s="1445"/>
      <c r="D94" s="1446"/>
      <c r="E94" s="1447"/>
      <c r="F94" s="1445">
        <v>0</v>
      </c>
      <c r="G94" s="1395">
        <f t="shared" si="4"/>
        <v>0</v>
      </c>
      <c r="H94" s="1447">
        <f t="shared" ref="H94" si="21">G94+H93</f>
        <v>0.51744660124482023</v>
      </c>
      <c r="I94" s="1445">
        <v>0</v>
      </c>
      <c r="J94" s="1395">
        <f t="shared" si="5"/>
        <v>0</v>
      </c>
      <c r="K94" s="1447">
        <f t="shared" ref="K94" si="22">J94+K93</f>
        <v>0.51744660124482023</v>
      </c>
      <c r="L94" s="1448" t="str">
        <f t="shared" ref="L94" si="23">IF(J94&gt;=G94,"ADELANTADO","ATRASADO")</f>
        <v>ADELANTADO</v>
      </c>
      <c r="M94" s="1448" t="str">
        <f t="shared" ref="M94" si="24">IF(K94&gt;=H94,"ADELANTADO","ATRASADO")</f>
        <v>ADELANTADO</v>
      </c>
      <c r="N94" s="1346"/>
      <c r="O94" s="1346"/>
      <c r="P94" s="1346"/>
      <c r="Q94" s="1346"/>
      <c r="R94" s="1346"/>
      <c r="S94" s="1346"/>
      <c r="T94" s="1346"/>
      <c r="U94" s="1346"/>
      <c r="V94" s="1346"/>
      <c r="W94" s="1346"/>
      <c r="X94" s="1346"/>
      <c r="Y94" s="1346"/>
      <c r="Z94" s="1346"/>
      <c r="AA94" s="1346"/>
      <c r="AB94" s="1346"/>
      <c r="AC94" s="1346"/>
      <c r="AD94" s="1346"/>
      <c r="AE94" s="1346"/>
      <c r="AF94" s="1346"/>
      <c r="AG94" s="1346"/>
      <c r="AH94" s="1346"/>
      <c r="AI94" s="1346"/>
      <c r="AJ94" s="1346"/>
      <c r="AK94" s="1346"/>
      <c r="AL94" s="1346"/>
      <c r="AM94" s="1346"/>
      <c r="AN94" s="1346"/>
      <c r="AP94" s="1295"/>
      <c r="AQ94" s="1295"/>
    </row>
    <row r="95" spans="1:43">
      <c r="A95" s="1375">
        <f t="shared" si="7"/>
        <v>28</v>
      </c>
      <c r="B95" s="1444" t="s">
        <v>4359</v>
      </c>
      <c r="C95" s="1445"/>
      <c r="D95" s="1446"/>
      <c r="E95" s="1447"/>
      <c r="F95" s="1445">
        <v>0</v>
      </c>
      <c r="G95" s="1395">
        <f t="shared" si="4"/>
        <v>0</v>
      </c>
      <c r="H95" s="1447">
        <f t="shared" ref="H95" si="25">G95+H94</f>
        <v>0.51744660124482023</v>
      </c>
      <c r="I95" s="1445">
        <v>0</v>
      </c>
      <c r="J95" s="1395">
        <f t="shared" si="5"/>
        <v>0</v>
      </c>
      <c r="K95" s="1447">
        <f t="shared" ref="K95" si="26">J95+K94</f>
        <v>0.51744660124482023</v>
      </c>
      <c r="L95" s="1448" t="str">
        <f t="shared" ref="L95" si="27">IF(J95&gt;=G95,"ADELANTADO","ATRASADO")</f>
        <v>ADELANTADO</v>
      </c>
      <c r="M95" s="1448" t="str">
        <f t="shared" ref="M95" si="28">IF(K95&gt;=H95,"ADELANTADO","ATRASADO")</f>
        <v>ADELANTADO</v>
      </c>
      <c r="N95" s="1346"/>
      <c r="O95" s="1346"/>
      <c r="P95" s="1346"/>
      <c r="Q95" s="1346"/>
      <c r="R95" s="1346"/>
      <c r="S95" s="1346"/>
      <c r="T95" s="1346"/>
      <c r="U95" s="1346"/>
      <c r="V95" s="1346"/>
      <c r="W95" s="1346"/>
      <c r="X95" s="1346"/>
      <c r="Y95" s="1346"/>
      <c r="Z95" s="1346"/>
      <c r="AA95" s="1346"/>
      <c r="AB95" s="1346"/>
      <c r="AC95" s="1346"/>
      <c r="AD95" s="1346"/>
      <c r="AE95" s="1346"/>
      <c r="AF95" s="1346"/>
      <c r="AG95" s="1346"/>
      <c r="AH95" s="1346"/>
      <c r="AI95" s="1346"/>
      <c r="AJ95" s="1346"/>
      <c r="AK95" s="1346"/>
      <c r="AL95" s="1346"/>
      <c r="AM95" s="1346"/>
      <c r="AN95" s="1346"/>
      <c r="AP95" s="1295"/>
      <c r="AQ95" s="1295"/>
    </row>
    <row r="96" spans="1:43">
      <c r="A96" s="1375">
        <f t="shared" si="7"/>
        <v>29</v>
      </c>
      <c r="B96" s="1444">
        <v>44500</v>
      </c>
      <c r="C96" s="1445"/>
      <c r="D96" s="1446"/>
      <c r="E96" s="1447"/>
      <c r="F96" s="1445">
        <v>793790.43433117657</v>
      </c>
      <c r="G96" s="1395">
        <f t="shared" si="4"/>
        <v>3.5037315654221857E-2</v>
      </c>
      <c r="H96" s="1447">
        <f>G96+H94</f>
        <v>0.55248391689904208</v>
      </c>
      <c r="I96" s="1445">
        <v>402439.05875293631</v>
      </c>
      <c r="J96" s="1395">
        <f t="shared" si="5"/>
        <v>1.7763358845455372E-2</v>
      </c>
      <c r="K96" s="1447">
        <f>J96+K94</f>
        <v>0.53520996009027555</v>
      </c>
      <c r="L96" s="1448" t="str">
        <f t="shared" ref="L96:L97" si="29">IF(J96&gt;=G96,"ADELANTADO","ATRASADO")</f>
        <v>ATRASADO</v>
      </c>
      <c r="M96" s="1448" t="str">
        <f t="shared" ref="M96:M97" si="30">IF(K96&gt;=H96,"ADELANTADO","ATRASADO")</f>
        <v>ATRASADO</v>
      </c>
      <c r="N96" s="1346"/>
      <c r="O96" s="1346"/>
      <c r="P96" s="1346"/>
      <c r="Q96" s="1346"/>
      <c r="R96" s="1346"/>
      <c r="S96" s="1346"/>
      <c r="T96" s="1346"/>
      <c r="U96" s="1346"/>
      <c r="V96" s="1346"/>
      <c r="W96" s="1346"/>
      <c r="X96" s="1346"/>
      <c r="Y96" s="1346"/>
      <c r="Z96" s="1346"/>
      <c r="AA96" s="1346"/>
      <c r="AB96" s="1346"/>
      <c r="AC96" s="1346"/>
      <c r="AD96" s="1346"/>
      <c r="AE96" s="1346"/>
      <c r="AF96" s="1346"/>
      <c r="AG96" s="1346"/>
      <c r="AH96" s="1346"/>
      <c r="AI96" s="1346"/>
      <c r="AJ96" s="1346"/>
      <c r="AK96" s="1346"/>
      <c r="AL96" s="1346"/>
      <c r="AM96" s="1346"/>
      <c r="AN96" s="1346"/>
      <c r="AP96" s="1295"/>
      <c r="AQ96" s="1295"/>
    </row>
    <row r="97" spans="1:43">
      <c r="A97" s="1375">
        <f t="shared" si="7"/>
        <v>30</v>
      </c>
      <c r="B97" s="1444">
        <v>44530</v>
      </c>
      <c r="C97" s="1445"/>
      <c r="D97" s="1446"/>
      <c r="E97" s="1447"/>
      <c r="F97" s="1445">
        <v>1288775.8327739933</v>
      </c>
      <c r="G97" s="1395">
        <f t="shared" si="4"/>
        <v>5.6885600666731984E-2</v>
      </c>
      <c r="H97" s="1447">
        <f t="shared" ref="H97" si="31">G97+H96</f>
        <v>0.60936951756577407</v>
      </c>
      <c r="I97" s="1445" t="e">
        <f>+'RESUMEN GENERAL'!F41</f>
        <v>#REF!</v>
      </c>
      <c r="J97" s="1395" t="e">
        <f t="shared" si="5"/>
        <v>#REF!</v>
      </c>
      <c r="K97" s="1447" t="e">
        <f t="shared" ref="K97" si="32">J97+K96</f>
        <v>#REF!</v>
      </c>
      <c r="L97" s="1448" t="e">
        <f t="shared" si="29"/>
        <v>#REF!</v>
      </c>
      <c r="M97" s="1448" t="e">
        <f t="shared" si="30"/>
        <v>#REF!</v>
      </c>
      <c r="N97" s="1346"/>
      <c r="O97" s="1346"/>
      <c r="P97" s="1346"/>
      <c r="Q97" s="1346"/>
      <c r="R97" s="1346"/>
      <c r="S97" s="1346"/>
      <c r="T97" s="1346"/>
      <c r="U97" s="1346"/>
      <c r="V97" s="1346"/>
      <c r="W97" s="1346"/>
      <c r="X97" s="1346"/>
      <c r="Y97" s="1346"/>
      <c r="Z97" s="1346"/>
      <c r="AA97" s="1346"/>
      <c r="AB97" s="1346"/>
      <c r="AC97" s="1346"/>
      <c r="AD97" s="1346"/>
      <c r="AE97" s="1346"/>
      <c r="AF97" s="1346"/>
      <c r="AG97" s="1346"/>
      <c r="AH97" s="1346"/>
      <c r="AI97" s="1346"/>
      <c r="AJ97" s="1346"/>
      <c r="AK97" s="1346"/>
      <c r="AL97" s="1346"/>
      <c r="AM97" s="1346"/>
      <c r="AN97" s="1346"/>
      <c r="AP97" s="1295"/>
      <c r="AQ97" s="1295"/>
    </row>
    <row r="98" spans="1:43">
      <c r="A98" s="1375">
        <f t="shared" si="7"/>
        <v>31</v>
      </c>
      <c r="B98" s="1444">
        <v>44561</v>
      </c>
      <c r="C98" s="1445"/>
      <c r="D98" s="1446"/>
      <c r="E98" s="1447"/>
      <c r="F98" s="1445">
        <v>1509272.1980750002</v>
      </c>
      <c r="G98" s="1395">
        <f t="shared" si="4"/>
        <v>6.6618145199306686E-2</v>
      </c>
      <c r="H98" s="1447">
        <f t="shared" ref="H98:H99" si="33">G98+H97</f>
        <v>0.67598766276508071</v>
      </c>
      <c r="I98" s="1445">
        <v>0</v>
      </c>
      <c r="J98" s="1395">
        <f t="shared" si="5"/>
        <v>0</v>
      </c>
      <c r="K98" s="1447" t="e">
        <f t="shared" ref="K98:K99" si="34">J98+K97</f>
        <v>#REF!</v>
      </c>
      <c r="L98" s="1448" t="str">
        <f t="shared" ref="L98:L99" si="35">IF(J98&gt;=G98,"ADELANTADO","ATRASADO")</f>
        <v>ATRASADO</v>
      </c>
      <c r="M98" s="1448" t="e">
        <f t="shared" ref="M98:M99" si="36">IF(K98&gt;=H98,"ADELANTADO","ATRASADO")</f>
        <v>#REF!</v>
      </c>
      <c r="N98" s="1346"/>
      <c r="O98" s="1346"/>
      <c r="P98" s="1346"/>
      <c r="Q98" s="1346"/>
      <c r="R98" s="1346"/>
      <c r="S98" s="1346"/>
      <c r="T98" s="1346"/>
      <c r="U98" s="1346"/>
      <c r="V98" s="1346"/>
      <c r="W98" s="1346"/>
      <c r="X98" s="1346"/>
      <c r="Y98" s="1346"/>
      <c r="Z98" s="1346"/>
      <c r="AA98" s="1346"/>
      <c r="AB98" s="1346"/>
      <c r="AC98" s="1346"/>
      <c r="AD98" s="1346"/>
      <c r="AE98" s="1346"/>
      <c r="AF98" s="1346"/>
      <c r="AG98" s="1346"/>
      <c r="AH98" s="1346"/>
      <c r="AI98" s="1346"/>
      <c r="AJ98" s="1346"/>
      <c r="AK98" s="1346"/>
      <c r="AL98" s="1346"/>
      <c r="AM98" s="1346"/>
      <c r="AN98" s="1346"/>
      <c r="AP98" s="1295"/>
      <c r="AQ98" s="1295"/>
    </row>
    <row r="99" spans="1:43">
      <c r="A99" s="1375">
        <f t="shared" si="7"/>
        <v>32</v>
      </c>
      <c r="B99" s="1444">
        <v>44586</v>
      </c>
      <c r="C99" s="1445"/>
      <c r="D99" s="1446"/>
      <c r="E99" s="1447"/>
      <c r="F99" s="1445">
        <v>7340684.8983699176</v>
      </c>
      <c r="G99" s="1395">
        <f t="shared" si="4"/>
        <v>0.3240123372349194</v>
      </c>
      <c r="H99" s="1447">
        <f t="shared" si="33"/>
        <v>1</v>
      </c>
      <c r="I99" s="1445">
        <v>0</v>
      </c>
      <c r="J99" s="1395">
        <f t="shared" si="5"/>
        <v>0</v>
      </c>
      <c r="K99" s="1447" t="e">
        <f t="shared" si="34"/>
        <v>#REF!</v>
      </c>
      <c r="L99" s="1448" t="str">
        <f t="shared" si="35"/>
        <v>ATRASADO</v>
      </c>
      <c r="M99" s="1448" t="e">
        <f t="shared" si="36"/>
        <v>#REF!</v>
      </c>
      <c r="N99" s="1346"/>
      <c r="O99" s="1346"/>
      <c r="P99" s="1346"/>
      <c r="Q99" s="1346"/>
      <c r="R99" s="1346"/>
      <c r="S99" s="1346"/>
      <c r="T99" s="1346"/>
      <c r="U99" s="1346"/>
      <c r="V99" s="1346"/>
      <c r="W99" s="1346"/>
      <c r="X99" s="1346"/>
      <c r="Y99" s="1346"/>
      <c r="Z99" s="1346"/>
      <c r="AA99" s="1346"/>
      <c r="AB99" s="1346"/>
      <c r="AC99" s="1346"/>
      <c r="AD99" s="1346"/>
      <c r="AE99" s="1346"/>
      <c r="AF99" s="1346"/>
      <c r="AG99" s="1346"/>
      <c r="AH99" s="1346"/>
      <c r="AI99" s="1346"/>
      <c r="AJ99" s="1346"/>
      <c r="AK99" s="1346"/>
      <c r="AL99" s="1346"/>
      <c r="AM99" s="1346"/>
      <c r="AN99" s="1346"/>
      <c r="AP99" s="1295"/>
      <c r="AQ99" s="1295"/>
    </row>
    <row r="100" spans="1:43">
      <c r="A100" s="1393"/>
      <c r="B100" s="1362"/>
      <c r="C100" s="1363"/>
      <c r="D100" s="1364"/>
      <c r="E100" s="1362"/>
      <c r="F100" s="1363"/>
      <c r="G100" s="1364"/>
      <c r="H100" s="1362"/>
      <c r="I100" s="1363"/>
      <c r="J100" s="1364"/>
      <c r="K100" s="1365"/>
      <c r="L100" s="1365"/>
      <c r="M100" s="1346"/>
      <c r="N100" s="1553">
        <v>11780058.5096162</v>
      </c>
      <c r="O100" s="1553"/>
      <c r="P100" s="1553"/>
      <c r="Q100" s="1553"/>
      <c r="R100" s="1553"/>
      <c r="S100" s="1553"/>
      <c r="T100" s="1553"/>
      <c r="U100" s="1553"/>
      <c r="V100" s="1553"/>
      <c r="W100" s="1553"/>
      <c r="X100" s="1553"/>
      <c r="Y100" s="1553"/>
      <c r="Z100" s="1553"/>
      <c r="AA100" s="1553"/>
      <c r="AB100" s="1553"/>
      <c r="AC100" s="1553"/>
      <c r="AD100" s="1553"/>
      <c r="AE100" s="1553"/>
      <c r="AF100" s="1553"/>
      <c r="AG100" s="1553"/>
      <c r="AH100" s="1553"/>
      <c r="AI100" s="1553"/>
      <c r="AJ100" s="1553"/>
      <c r="AK100" s="1553"/>
      <c r="AL100" s="1553"/>
      <c r="AM100" s="1553"/>
      <c r="AN100" s="1553"/>
      <c r="AP100" s="1295"/>
      <c r="AQ100" s="1295" t="e">
        <f>#REF!+E100</f>
        <v>#REF!</v>
      </c>
    </row>
    <row r="101" spans="1:43" ht="18" customHeight="1">
      <c r="A101" s="1411"/>
      <c r="B101" s="2906" t="s">
        <v>4346</v>
      </c>
      <c r="C101" s="2907"/>
      <c r="D101" s="2907"/>
      <c r="E101" s="2908"/>
      <c r="F101" s="2252">
        <f>SUM(F69:F99)</f>
        <v>22655572.195226889</v>
      </c>
      <c r="G101" s="2253">
        <f>SUM(G68:G100)</f>
        <v>1</v>
      </c>
      <c r="H101" s="2252"/>
      <c r="I101" s="2252" t="e">
        <f>SUM(I68:I100)+0.01</f>
        <v>#REF!</v>
      </c>
      <c r="J101" s="2253" t="e">
        <f>+K99</f>
        <v>#REF!</v>
      </c>
      <c r="L101" s="1295"/>
    </row>
    <row r="102" spans="1:43">
      <c r="B102" s="2906" t="s">
        <v>4363</v>
      </c>
      <c r="C102" s="2907"/>
      <c r="D102" s="2907"/>
      <c r="E102" s="2908"/>
      <c r="F102" s="1394">
        <f>+'RESUMEN GENERAL'!C39</f>
        <v>-2258509.8199999998</v>
      </c>
      <c r="G102" s="2253">
        <f>(+F102/F101)*-1</f>
        <v>9.9688933059736459E-2</v>
      </c>
      <c r="H102" s="1392"/>
      <c r="I102" s="1392"/>
      <c r="J102" s="1392"/>
      <c r="L102" s="303" t="s">
        <v>9</v>
      </c>
    </row>
    <row r="103" spans="1:43">
      <c r="B103" s="2906" t="s">
        <v>4365</v>
      </c>
      <c r="C103" s="2907"/>
      <c r="D103" s="2907"/>
      <c r="E103" s="2908"/>
      <c r="F103" s="2278">
        <f>+F101+F102</f>
        <v>20397062.375226889</v>
      </c>
      <c r="G103" s="2253">
        <f>+F103/F101</f>
        <v>0.90031106694026353</v>
      </c>
      <c r="H103" s="1394"/>
      <c r="I103" s="2278" t="e">
        <f>+I101</f>
        <v>#REF!</v>
      </c>
      <c r="J103" s="2253" t="e">
        <f>+I103/F103</f>
        <v>#REF!</v>
      </c>
    </row>
    <row r="104" spans="1:43">
      <c r="H104" s="1295"/>
    </row>
    <row r="105" spans="1:43">
      <c r="F105" s="1295">
        <f>SUM(F68:F93)</f>
        <v>11723048.831676802</v>
      </c>
      <c r="G105" s="1295" t="e">
        <f>+'RESUMEN GENERAL'!D41</f>
        <v>#REF!</v>
      </c>
      <c r="H105" s="1295" t="e">
        <f>+F105-G105</f>
        <v>#REF!</v>
      </c>
      <c r="I105" s="1295" t="e">
        <f>+'RESUMEN GENERAL'!H41</f>
        <v>#REF!</v>
      </c>
      <c r="J105" s="1295" t="e">
        <f>+I101-I105</f>
        <v>#REF!</v>
      </c>
    </row>
    <row r="106" spans="1:43">
      <c r="E106" s="1295"/>
      <c r="F106" s="2277">
        <f>+'[39]valorizado HASTA SETIEMBRE 2021'!$AB$883</f>
        <v>10932523.363550087</v>
      </c>
    </row>
    <row r="107" spans="1:43">
      <c r="E107" s="1295"/>
      <c r="F107" s="1295">
        <f>SUM(F105:F106)</f>
        <v>22655572.195226889</v>
      </c>
      <c r="G107" s="1295">
        <f>SUM(F68:F99)</f>
        <v>22655572.195226889</v>
      </c>
    </row>
    <row r="108" spans="1:43">
      <c r="E108" s="1295"/>
      <c r="F108" s="1295">
        <f>SUM(F68:F98)</f>
        <v>15314887.296856971</v>
      </c>
      <c r="G108" s="1295" t="e">
        <f>+'RESUMEN GENERAL'!C41</f>
        <v>#REF!</v>
      </c>
      <c r="H108" s="1295" t="e">
        <f>+G108-F108</f>
        <v>#REF!</v>
      </c>
    </row>
    <row r="109" spans="1:43">
      <c r="F109" s="1295">
        <v>21937862.799199998</v>
      </c>
      <c r="L109" s="303">
        <v>15398736.547100004</v>
      </c>
    </row>
    <row r="110" spans="1:43">
      <c r="F110" s="1295">
        <f>+F101-F109</f>
        <v>717709.39602689072</v>
      </c>
      <c r="L110" s="303">
        <v>15943790.338447237</v>
      </c>
    </row>
    <row r="111" spans="1:43">
      <c r="B111" s="303">
        <v>14829505.383399989</v>
      </c>
      <c r="L111" s="303">
        <v>15586650.219999999</v>
      </c>
    </row>
    <row r="112" spans="1:43">
      <c r="F112" s="1295">
        <f>+F99-F110</f>
        <v>6622975.5023430269</v>
      </c>
    </row>
    <row r="114" spans="2:9">
      <c r="B114" s="304"/>
      <c r="C114" s="1294"/>
      <c r="D114" s="304"/>
      <c r="E114" s="304"/>
      <c r="F114" s="1294"/>
      <c r="G114" s="304"/>
      <c r="H114" s="304"/>
      <c r="I114" s="304"/>
    </row>
    <row r="115" spans="2:9">
      <c r="B115" s="304"/>
      <c r="C115" s="1294"/>
      <c r="D115" s="304"/>
      <c r="E115" s="304"/>
      <c r="F115" s="304"/>
      <c r="G115" s="304"/>
      <c r="H115" s="304"/>
    </row>
    <row r="116" spans="2:9">
      <c r="B116" s="304"/>
      <c r="C116" s="1294"/>
      <c r="D116" s="304"/>
      <c r="E116" s="1295"/>
      <c r="F116" s="1296"/>
      <c r="G116" s="305"/>
    </row>
    <row r="117" spans="2:9">
      <c r="B117" s="1295"/>
      <c r="C117" s="1294"/>
      <c r="D117" s="304"/>
    </row>
    <row r="118" spans="2:9">
      <c r="B118" s="304"/>
      <c r="C118" s="1294"/>
      <c r="D118" s="304"/>
    </row>
    <row r="119" spans="2:9">
      <c r="B119" s="304"/>
      <c r="C119" s="1294"/>
      <c r="D119" s="304"/>
    </row>
    <row r="120" spans="2:9">
      <c r="B120" s="304"/>
      <c r="C120" s="1294"/>
      <c r="D120" s="304"/>
    </row>
    <row r="121" spans="2:9">
      <c r="B121" s="304"/>
      <c r="C121" s="1294"/>
      <c r="D121" s="304"/>
    </row>
    <row r="122" spans="2:9">
      <c r="B122" s="304"/>
      <c r="C122" s="1294"/>
      <c r="D122" s="304"/>
    </row>
    <row r="123" spans="2:9">
      <c r="B123" s="304"/>
      <c r="C123" s="1294"/>
      <c r="D123" s="304"/>
    </row>
    <row r="124" spans="2:9" ht="13.8">
      <c r="B124" s="304"/>
      <c r="C124" s="1294"/>
      <c r="D124" s="304"/>
      <c r="E124" s="1297"/>
      <c r="F124" s="1297"/>
    </row>
    <row r="125" spans="2:9">
      <c r="B125" s="304"/>
      <c r="C125" s="1294"/>
      <c r="D125" s="304"/>
    </row>
    <row r="126" spans="2:9">
      <c r="B126" s="304"/>
      <c r="C126" s="1294"/>
      <c r="D126" s="304"/>
    </row>
    <row r="127" spans="2:9">
      <c r="B127" s="304"/>
      <c r="C127" s="1294"/>
      <c r="D127" s="304"/>
    </row>
    <row r="128" spans="2:9">
      <c r="B128" s="304"/>
      <c r="C128" s="1294"/>
      <c r="D128" s="304"/>
    </row>
    <row r="129" spans="2:2">
      <c r="B129" s="303">
        <f>+B122/1.18</f>
        <v>0</v>
      </c>
    </row>
    <row r="130" spans="2:2">
      <c r="B130" s="303">
        <f>+B123/1.18</f>
        <v>0</v>
      </c>
    </row>
  </sheetData>
  <mergeCells count="22">
    <mergeCell ref="N65:N66"/>
    <mergeCell ref="V56:AE56"/>
    <mergeCell ref="A63:N63"/>
    <mergeCell ref="B102:E102"/>
    <mergeCell ref="B103:E103"/>
    <mergeCell ref="I64:K64"/>
    <mergeCell ref="A64:B64"/>
    <mergeCell ref="A65:A66"/>
    <mergeCell ref="F64:H64"/>
    <mergeCell ref="B101:E101"/>
    <mergeCell ref="AF56:AK56"/>
    <mergeCell ref="P56:U56"/>
    <mergeCell ref="D4:M4"/>
    <mergeCell ref="D5:F5"/>
    <mergeCell ref="D6:F6"/>
    <mergeCell ref="D12:M12"/>
    <mergeCell ref="B1:N1"/>
    <mergeCell ref="AQ1:BC1"/>
    <mergeCell ref="B2:N2"/>
    <mergeCell ref="AQ2:BC2"/>
    <mergeCell ref="B3:N3"/>
    <mergeCell ref="AQ3:BC3"/>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25" zoomScaleNormal="100" zoomScaleSheetLayoutView="100" workbookViewId="0">
      <selection activeCell="E47" sqref="E47"/>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50" t="s">
        <v>4333</v>
      </c>
      <c r="C1" s="2350"/>
      <c r="D1" s="2350"/>
      <c r="E1" s="2350"/>
      <c r="F1" s="2350"/>
      <c r="G1" s="2350"/>
      <c r="H1" s="2350"/>
      <c r="I1" s="2350"/>
      <c r="J1" s="2350"/>
      <c r="K1" s="2350"/>
      <c r="L1" s="1"/>
      <c r="M1" s="1"/>
      <c r="N1" s="1"/>
    </row>
    <row r="2" spans="2:16" s="5" customFormat="1" ht="12" customHeight="1">
      <c r="B2" s="2350" t="s">
        <v>4373</v>
      </c>
      <c r="C2" s="2350"/>
      <c r="D2" s="2350"/>
      <c r="E2" s="2350"/>
      <c r="F2" s="2350"/>
      <c r="G2" s="2350"/>
      <c r="H2" s="2350"/>
      <c r="I2" s="2350"/>
      <c r="J2" s="2350"/>
      <c r="K2" s="2350"/>
      <c r="L2" s="1370"/>
      <c r="M2" s="1370"/>
      <c r="N2" s="1370"/>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44" t="s">
        <v>3575</v>
      </c>
      <c r="F4" s="2944"/>
      <c r="G4" s="2944"/>
      <c r="H4" s="2944"/>
      <c r="I4" s="2944"/>
      <c r="J4" s="1374" t="s">
        <v>13</v>
      </c>
      <c r="K4" s="1452">
        <v>44532</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3643</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945" t="s">
        <v>66</v>
      </c>
      <c r="C10" s="2920" t="s">
        <v>21</v>
      </c>
      <c r="D10" s="2920"/>
      <c r="E10" s="2920" t="s">
        <v>23</v>
      </c>
      <c r="F10" s="2948" t="s">
        <v>24</v>
      </c>
      <c r="G10" s="2948"/>
      <c r="H10" s="2948"/>
      <c r="I10" s="2948"/>
      <c r="J10" s="2920" t="s">
        <v>25</v>
      </c>
      <c r="K10" s="2921"/>
    </row>
    <row r="11" spans="2:16" ht="13.2">
      <c r="B11" s="2946"/>
      <c r="C11" s="2922"/>
      <c r="D11" s="2922"/>
      <c r="E11" s="2922"/>
      <c r="F11" s="704" t="s">
        <v>26</v>
      </c>
      <c r="G11" s="704" t="s">
        <v>27</v>
      </c>
      <c r="H11" s="2949" t="s">
        <v>28</v>
      </c>
      <c r="I11" s="2949"/>
      <c r="J11" s="2922"/>
      <c r="K11" s="2923"/>
    </row>
    <row r="12" spans="2:16" ht="12.75" customHeight="1">
      <c r="B12" s="2946"/>
      <c r="C12" s="2922"/>
      <c r="D12" s="2922"/>
      <c r="E12" s="2922"/>
      <c r="F12" s="2950" t="s">
        <v>32</v>
      </c>
      <c r="G12" s="2950" t="s">
        <v>32</v>
      </c>
      <c r="H12" s="2950" t="s">
        <v>32</v>
      </c>
      <c r="I12" s="2922" t="s">
        <v>0</v>
      </c>
      <c r="J12" s="2922" t="s">
        <v>32</v>
      </c>
      <c r="K12" s="2923" t="s">
        <v>0</v>
      </c>
    </row>
    <row r="13" spans="2:16" ht="10.8" thickBot="1">
      <c r="B13" s="2947"/>
      <c r="C13" s="2924"/>
      <c r="D13" s="2924"/>
      <c r="E13" s="2924"/>
      <c r="F13" s="2951"/>
      <c r="G13" s="2951"/>
      <c r="H13" s="2951"/>
      <c r="I13" s="2924"/>
      <c r="J13" s="2924"/>
      <c r="K13" s="2925"/>
    </row>
    <row r="14" spans="2:16" ht="25.5" customHeight="1">
      <c r="B14" s="2967">
        <v>1</v>
      </c>
      <c r="C14" s="2963" t="s">
        <v>1132</v>
      </c>
      <c r="D14" s="2964"/>
      <c r="E14" s="2928" t="e">
        <f>+'VAL. PRINC'!#REF!</f>
        <v>#REF!</v>
      </c>
      <c r="F14" s="2928" t="e">
        <f>+SUM('VAL. PRINC'!#REF!)</f>
        <v>#REF!</v>
      </c>
      <c r="G14" s="2928" t="e">
        <f>+'VAL. PRINC'!#REF!</f>
        <v>#REF!</v>
      </c>
      <c r="H14" s="2928" t="e">
        <f>+F14+G14</f>
        <v>#REF!</v>
      </c>
      <c r="I14" s="2961" t="e">
        <f>+H14/E14</f>
        <v>#REF!</v>
      </c>
      <c r="J14" s="2918" t="e">
        <f>+E14-H14</f>
        <v>#REF!</v>
      </c>
      <c r="K14" s="2926" t="e">
        <f>+J14/E14</f>
        <v>#REF!</v>
      </c>
      <c r="N14" s="26"/>
      <c r="P14" s="18">
        <v>77203.628799999991</v>
      </c>
    </row>
    <row r="15" spans="2:16" ht="10.35" customHeight="1">
      <c r="B15" s="2968"/>
      <c r="C15" s="2965"/>
      <c r="D15" s="2966"/>
      <c r="E15" s="2929"/>
      <c r="F15" s="2929"/>
      <c r="G15" s="2929"/>
      <c r="H15" s="2929"/>
      <c r="I15" s="2962"/>
      <c r="J15" s="2919"/>
      <c r="K15" s="2927"/>
      <c r="M15" s="26"/>
      <c r="N15" s="26"/>
    </row>
    <row r="16" spans="2:16" ht="13.2">
      <c r="B16" s="701">
        <v>2</v>
      </c>
      <c r="C16" s="703" t="str">
        <f>[41]VAL.PRINC!B38</f>
        <v>ESTRUCTURAS</v>
      </c>
      <c r="D16" s="702"/>
      <c r="E16" s="792" t="e">
        <f>+'VAL. PRINC'!#REF!</f>
        <v>#REF!</v>
      </c>
      <c r="F16" s="1361" t="e">
        <f>+SUM('VAL. PRINC'!#REF!)</f>
        <v>#REF!</v>
      </c>
      <c r="G16" s="792" t="e">
        <f>+'VAL. PRINC'!#REF!</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ht="13.2">
      <c r="B17" s="701">
        <v>3</v>
      </c>
      <c r="C17" s="703" t="str">
        <f>[41]VAL.PRINC!B292</f>
        <v>ARQUITECTURA</v>
      </c>
      <c r="D17" s="702"/>
      <c r="E17" s="1507" t="e">
        <f>+'VAL. PRINC'!#REF!</f>
        <v>#REF!</v>
      </c>
      <c r="F17" s="1361" t="e">
        <f>+SUM('VAL. PRINC'!#REF!)</f>
        <v>#REF!</v>
      </c>
      <c r="G17" s="792" t="e">
        <f>+'VAL. PRINC'!#REF!</f>
        <v>#REF!</v>
      </c>
      <c r="H17" s="705" t="e">
        <f t="shared" si="0"/>
        <v>#REF!</v>
      </c>
      <c r="I17" s="104" t="e">
        <f t="shared" si="1"/>
        <v>#REF!</v>
      </c>
      <c r="J17" s="798" t="e">
        <f t="shared" si="2"/>
        <v>#REF!</v>
      </c>
      <c r="K17" s="799" t="e">
        <f t="shared" si="3"/>
        <v>#REF!</v>
      </c>
      <c r="N17" s="26"/>
      <c r="P17" s="18">
        <v>100106.41170000001</v>
      </c>
    </row>
    <row r="18" spans="2:16" ht="13.2">
      <c r="B18" s="701">
        <v>4</v>
      </c>
      <c r="C18" s="703" t="str">
        <f>[41]VAL.PRINC!B542</f>
        <v>INSTALACIONES SANITARIAS</v>
      </c>
      <c r="D18" s="702"/>
      <c r="E18" s="1507" t="e">
        <f>+'VAL. PRINC'!#REF!</f>
        <v>#REF!</v>
      </c>
      <c r="F18" s="1361" t="e">
        <f>+SUM('VAL. PRINC'!#REF!)</f>
        <v>#REF!</v>
      </c>
      <c r="G18" s="1347" t="e">
        <f>+'VAL. PRINC'!#REF!</f>
        <v>#REF!</v>
      </c>
      <c r="H18" s="705" t="e">
        <f t="shared" si="0"/>
        <v>#REF!</v>
      </c>
      <c r="I18" s="104" t="e">
        <f t="shared" si="1"/>
        <v>#REF!</v>
      </c>
      <c r="J18" s="798" t="e">
        <f t="shared" si="2"/>
        <v>#REF!</v>
      </c>
      <c r="K18" s="799" t="e">
        <f t="shared" si="3"/>
        <v>#REF!</v>
      </c>
      <c r="N18" s="26"/>
      <c r="P18" s="18">
        <v>1406.0177999999999</v>
      </c>
    </row>
    <row r="19" spans="2:16" ht="13.2">
      <c r="B19" s="701">
        <v>5</v>
      </c>
      <c r="C19" s="1280" t="str">
        <f>[41]VAL.PRINC!B601</f>
        <v>INSTALACIONES ELECTRICAS</v>
      </c>
      <c r="D19" s="702"/>
      <c r="E19" s="1507" t="e">
        <f>+'VAL. PRINC'!#REF!</f>
        <v>#REF!</v>
      </c>
      <c r="F19" s="1367" t="e">
        <f>+SUM('VAL. PRINC'!#REF!)</f>
        <v>#REF!</v>
      </c>
      <c r="G19" s="792" t="e">
        <f>+'VAL. PRINC'!#REF!</f>
        <v>#REF!</v>
      </c>
      <c r="H19" s="711" t="e">
        <f t="shared" si="0"/>
        <v>#REF!</v>
      </c>
      <c r="I19" s="104" t="e">
        <f t="shared" si="1"/>
        <v>#REF!</v>
      </c>
      <c r="J19" s="798" t="e">
        <f t="shared" si="2"/>
        <v>#REF!</v>
      </c>
      <c r="K19" s="799" t="e">
        <f t="shared" si="3"/>
        <v>#REF!</v>
      </c>
      <c r="N19" s="26"/>
    </row>
    <row r="20" spans="2:16" ht="13.2">
      <c r="B20" s="1372">
        <v>6</v>
      </c>
      <c r="C20" s="2933" t="s">
        <v>2827</v>
      </c>
      <c r="D20" s="2934"/>
      <c r="E20" s="1613" t="e">
        <f>+'VAL. PRINC'!#REF!</f>
        <v>#REF!</v>
      </c>
      <c r="F20" s="1352">
        <f>+SUM('VAL. PRINC'!T18:T117)</f>
        <v>172052.26850000001</v>
      </c>
      <c r="G20" s="1276" t="e">
        <f>+'VAL. PRINC'!#REF!</f>
        <v>#REF!</v>
      </c>
      <c r="H20" s="711" t="e">
        <f t="shared" si="0"/>
        <v>#REF!</v>
      </c>
      <c r="I20" s="104" t="e">
        <f t="shared" si="1"/>
        <v>#REF!</v>
      </c>
      <c r="J20" s="798" t="e">
        <f t="shared" si="2"/>
        <v>#REF!</v>
      </c>
      <c r="K20" s="799" t="e">
        <f t="shared" si="3"/>
        <v>#REF!</v>
      </c>
      <c r="P20" s="18">
        <v>3211.13</v>
      </c>
    </row>
    <row r="21" spans="2:16" ht="13.2">
      <c r="B21" s="1372">
        <v>7</v>
      </c>
      <c r="C21" s="1368" t="s">
        <v>3644</v>
      </c>
      <c r="D21" s="1369"/>
      <c r="E21" s="1507" t="e">
        <f>+'VAL. PRINC'!#REF!+'VAL. PRINC'!#REF!</f>
        <v>#REF!</v>
      </c>
      <c r="F21" s="1367" t="e">
        <f>+SUM('VAL. PRINC'!#REF!)</f>
        <v>#REF!</v>
      </c>
      <c r="G21" s="1367" t="e">
        <f>+'VAL. PRINC'!#REF!</f>
        <v>#REF!</v>
      </c>
      <c r="H21" s="711" t="e">
        <f t="shared" si="0"/>
        <v>#REF!</v>
      </c>
      <c r="I21" s="104" t="e">
        <f t="shared" si="1"/>
        <v>#REF!</v>
      </c>
      <c r="J21" s="798" t="e">
        <f t="shared" si="2"/>
        <v>#REF!</v>
      </c>
      <c r="K21" s="799" t="e">
        <f t="shared" si="3"/>
        <v>#REF!</v>
      </c>
    </row>
    <row r="22" spans="2:16" ht="13.2">
      <c r="B22" s="2939" t="s">
        <v>1929</v>
      </c>
      <c r="C22" s="2940"/>
      <c r="D22" s="2940"/>
      <c r="E22" s="1278" t="e">
        <f>+SUM(E14:E21)</f>
        <v>#REF!</v>
      </c>
      <c r="F22" s="1279" t="e">
        <f>SUM(F14:F21)</f>
        <v>#REF!</v>
      </c>
      <c r="G22" s="1279" t="e">
        <f>SUM(G14:G21)</f>
        <v>#REF!</v>
      </c>
      <c r="H22" s="1279" t="e">
        <f>SUM(H14:H21)</f>
        <v>#REF!</v>
      </c>
      <c r="I22" s="99" t="e">
        <f>+H22/E22</f>
        <v>#REF!</v>
      </c>
      <c r="J22" s="714" t="e">
        <f>SUM(J14:J21)</f>
        <v>#REF!</v>
      </c>
      <c r="K22" s="1371" t="e">
        <f>+M22-I22</f>
        <v>#REF!</v>
      </c>
      <c r="L22" s="26" t="e">
        <f>+E22-N22</f>
        <v>#REF!</v>
      </c>
      <c r="M22" s="1373">
        <v>1</v>
      </c>
      <c r="N22" s="18">
        <v>15398736.547100004</v>
      </c>
    </row>
    <row r="23" spans="2:16" ht="13.2">
      <c r="B23" s="2915" t="e">
        <f>'VAL. PRINC'!#REF!</f>
        <v>#REF!</v>
      </c>
      <c r="C23" s="2916"/>
      <c r="D23" s="2917"/>
      <c r="E23" s="736" t="e">
        <f>+'VAL. PRINC'!#REF!</f>
        <v>#REF!</v>
      </c>
      <c r="F23" s="1352">
        <v>0</v>
      </c>
      <c r="G23" s="1335" t="e">
        <f>+'VAL. PRINC'!#REF!</f>
        <v>#REF!</v>
      </c>
      <c r="H23" s="736" t="e">
        <f t="shared" ref="H23:H29" si="4">F23+G23</f>
        <v>#REF!</v>
      </c>
      <c r="I23" s="104" t="e">
        <f t="shared" ref="I23:I33" si="5">+H23/E23</f>
        <v>#REF!</v>
      </c>
      <c r="J23" s="1300" t="e">
        <f t="shared" ref="J23:J29" si="6">E23-H23</f>
        <v>#REF!</v>
      </c>
      <c r="K23" s="1277" t="e">
        <f t="shared" ref="K23:K33" si="7">+J23/E23</f>
        <v>#REF!</v>
      </c>
    </row>
    <row r="24" spans="2:16" ht="13.2">
      <c r="B24" s="2915" t="e">
        <f>'VAL. PRINC'!#REF!</f>
        <v>#REF!</v>
      </c>
      <c r="C24" s="2916"/>
      <c r="D24" s="2917"/>
      <c r="E24" s="736" t="e">
        <f>+'VAL. PRINC'!#REF!</f>
        <v>#REF!</v>
      </c>
      <c r="F24" s="1352" t="e">
        <f>+'VAL. PRINC'!#REF!</f>
        <v>#REF!</v>
      </c>
      <c r="G24" s="1335" t="e">
        <f>+'VAL. PRINC'!#REF!</f>
        <v>#REF!</v>
      </c>
      <c r="H24" s="736" t="e">
        <f t="shared" si="4"/>
        <v>#REF!</v>
      </c>
      <c r="I24" s="104" t="e">
        <f t="shared" si="5"/>
        <v>#REF!</v>
      </c>
      <c r="J24" s="1300" t="e">
        <f t="shared" si="6"/>
        <v>#REF!</v>
      </c>
      <c r="K24" s="1277" t="e">
        <f t="shared" si="7"/>
        <v>#REF!</v>
      </c>
    </row>
    <row r="25" spans="2:16" ht="13.2">
      <c r="B25" s="2915" t="e">
        <f>'VAL. PRINC'!#REF!</f>
        <v>#REF!</v>
      </c>
      <c r="C25" s="2916"/>
      <c r="D25" s="2917"/>
      <c r="E25" s="736" t="e">
        <f>+'VAL. PRINC'!#REF!</f>
        <v>#REF!</v>
      </c>
      <c r="F25" s="1367" t="e">
        <f>+'VAL. PRINC'!#REF!</f>
        <v>#REF!</v>
      </c>
      <c r="G25" s="1335" t="e">
        <f>+'VAL. PRINC'!#REF!</f>
        <v>#REF!</v>
      </c>
      <c r="H25" s="736" t="e">
        <f t="shared" si="4"/>
        <v>#REF!</v>
      </c>
      <c r="I25" s="104" t="e">
        <f t="shared" si="5"/>
        <v>#REF!</v>
      </c>
      <c r="J25" s="1300" t="e">
        <f t="shared" si="6"/>
        <v>#REF!</v>
      </c>
      <c r="K25" s="1277" t="e">
        <f t="shared" si="7"/>
        <v>#REF!</v>
      </c>
    </row>
    <row r="26" spans="2:16" ht="13.2">
      <c r="B26" s="2915" t="e">
        <f>'VAL. PRINC'!#REF!</f>
        <v>#REF!</v>
      </c>
      <c r="C26" s="2916"/>
      <c r="D26" s="2917"/>
      <c r="E26" s="736" t="e">
        <f>+'VAL. PRINC'!#REF!</f>
        <v>#REF!</v>
      </c>
      <c r="F26" s="1367" t="e">
        <f>+'VAL. PRINC'!#REF!</f>
        <v>#REF!</v>
      </c>
      <c r="G26" s="1335" t="e">
        <f>+'VAL. PRINC'!#REF!</f>
        <v>#REF!</v>
      </c>
      <c r="H26" s="736" t="e">
        <f t="shared" si="4"/>
        <v>#REF!</v>
      </c>
      <c r="I26" s="104" t="e">
        <f t="shared" si="5"/>
        <v>#REF!</v>
      </c>
      <c r="J26" s="1300" t="e">
        <f t="shared" si="6"/>
        <v>#REF!</v>
      </c>
      <c r="K26" s="799" t="e">
        <f t="shared" si="7"/>
        <v>#REF!</v>
      </c>
    </row>
    <row r="27" spans="2:16" ht="13.2">
      <c r="B27" s="2915" t="e">
        <f>'VAL. PRINC'!#REF!</f>
        <v>#REF!</v>
      </c>
      <c r="C27" s="2916"/>
      <c r="D27" s="2917"/>
      <c r="E27" s="736" t="e">
        <f>+'VAL. PRINC'!#REF!</f>
        <v>#REF!</v>
      </c>
      <c r="F27" s="1367" t="e">
        <f>+'VAL. PRINC'!#REF!</f>
        <v>#REF!</v>
      </c>
      <c r="G27" s="1335" t="e">
        <f>+'VAL. PRINC'!#REF!</f>
        <v>#REF!</v>
      </c>
      <c r="H27" s="736" t="e">
        <f t="shared" si="4"/>
        <v>#REF!</v>
      </c>
      <c r="I27" s="104" t="e">
        <f t="shared" si="5"/>
        <v>#REF!</v>
      </c>
      <c r="J27" s="1300" t="e">
        <f t="shared" si="6"/>
        <v>#REF!</v>
      </c>
      <c r="K27" s="799" t="e">
        <f t="shared" si="7"/>
        <v>#REF!</v>
      </c>
    </row>
    <row r="28" spans="2:16" ht="13.2">
      <c r="B28" s="2915" t="e">
        <f>'VAL. PRINC'!#REF!</f>
        <v>#REF!</v>
      </c>
      <c r="C28" s="2916"/>
      <c r="D28" s="2917"/>
      <c r="E28" s="736" t="e">
        <f>+'VAL. PRINC'!#REF!</f>
        <v>#REF!</v>
      </c>
      <c r="F28" s="1367" t="e">
        <f>+'VAL. PRINC'!#REF!</f>
        <v>#REF!</v>
      </c>
      <c r="G28" s="1335" t="e">
        <f>+'VAL. PRINC'!#REF!</f>
        <v>#REF!</v>
      </c>
      <c r="H28" s="736" t="e">
        <f t="shared" si="4"/>
        <v>#REF!</v>
      </c>
      <c r="I28" s="104" t="e">
        <f t="shared" si="5"/>
        <v>#REF!</v>
      </c>
      <c r="J28" s="1300" t="e">
        <f t="shared" si="6"/>
        <v>#REF!</v>
      </c>
      <c r="K28" s="799" t="e">
        <f t="shared" si="7"/>
        <v>#REF!</v>
      </c>
    </row>
    <row r="29" spans="2:16" ht="13.2">
      <c r="B29" s="2915" t="e">
        <f>'VAL. PRINC'!#REF!</f>
        <v>#REF!</v>
      </c>
      <c r="C29" s="2916"/>
      <c r="D29" s="2917"/>
      <c r="E29" s="736" t="e">
        <f>+'VAL. PRINC'!#REF!</f>
        <v>#REF!</v>
      </c>
      <c r="F29" s="1367" t="e">
        <f>+'VAL. PRINC'!#REF!</f>
        <v>#REF!</v>
      </c>
      <c r="G29" s="1335" t="e">
        <f>+'VAL. PRINC'!#REF!</f>
        <v>#REF!</v>
      </c>
      <c r="H29" s="736" t="e">
        <f t="shared" si="4"/>
        <v>#REF!</v>
      </c>
      <c r="I29" s="104" t="e">
        <f t="shared" si="5"/>
        <v>#REF!</v>
      </c>
      <c r="J29" s="1300" t="e">
        <f t="shared" si="6"/>
        <v>#REF!</v>
      </c>
      <c r="K29" s="799" t="e">
        <f t="shared" si="7"/>
        <v>#REF!</v>
      </c>
    </row>
    <row r="30" spans="2:16" ht="13.2">
      <c r="B30" s="2941" t="s">
        <v>1811</v>
      </c>
      <c r="C30" s="2942"/>
      <c r="D30" s="2943"/>
      <c r="E30" s="1298" t="e">
        <f>SUM(E22:E29)</f>
        <v>#REF!</v>
      </c>
      <c r="F30" s="1298" t="e">
        <f>SUM(F22:F29)</f>
        <v>#REF!</v>
      </c>
      <c r="G30" s="1353" t="e">
        <f>SUM(G22:G29)</f>
        <v>#REF!</v>
      </c>
      <c r="H30" s="1298" t="e">
        <f>SUM(H22:H29)</f>
        <v>#REF!</v>
      </c>
      <c r="I30" s="1355" t="e">
        <f>+H30/E30</f>
        <v>#REF!</v>
      </c>
      <c r="J30" s="714" t="e">
        <f>SUM(J22:J29)</f>
        <v>#REF!</v>
      </c>
      <c r="K30" s="1356" t="e">
        <f t="shared" si="7"/>
        <v>#REF!</v>
      </c>
    </row>
    <row r="31" spans="2:16" ht="13.2">
      <c r="B31" s="2915" t="e">
        <f>'VAL. PRINC'!#REF!</f>
        <v>#REF!</v>
      </c>
      <c r="C31" s="2916"/>
      <c r="D31" s="2917"/>
      <c r="E31" s="717" t="e">
        <f>+'VAL. PRINC'!#REF!</f>
        <v>#REF!</v>
      </c>
      <c r="F31" s="717" t="e">
        <f>+'VAL. PRINC'!#REF!</f>
        <v>#REF!</v>
      </c>
      <c r="G31" s="1354" t="e">
        <f>'VAL. PRINC'!#REF!</f>
        <v>#REF!</v>
      </c>
      <c r="H31" s="717" t="e">
        <f>F31+G31</f>
        <v>#REF!</v>
      </c>
      <c r="I31" s="104" t="e">
        <f t="shared" si="5"/>
        <v>#REF!</v>
      </c>
      <c r="J31" s="1301" t="e">
        <f>E31-H31</f>
        <v>#REF!</v>
      </c>
      <c r="K31" s="799" t="e">
        <f t="shared" si="7"/>
        <v>#REF!</v>
      </c>
    </row>
    <row r="32" spans="2:16" ht="13.2">
      <c r="B32" s="2915" t="e">
        <f>'VAL. PRINC'!#REF!</f>
        <v>#REF!</v>
      </c>
      <c r="C32" s="2916"/>
      <c r="D32" s="2917"/>
      <c r="E32" s="717" t="e">
        <f>+'VAL. PRINC'!#REF!</f>
        <v>#REF!</v>
      </c>
      <c r="F32" s="717" t="e">
        <f>+'VAL. PRINC'!#REF!</f>
        <v>#REF!</v>
      </c>
      <c r="G32" s="1354" t="e">
        <f>'VAL. PRINC'!#REF!</f>
        <v>#REF!</v>
      </c>
      <c r="H32" s="717" t="e">
        <f>F32+G32</f>
        <v>#REF!</v>
      </c>
      <c r="I32" s="104" t="e">
        <f t="shared" si="5"/>
        <v>#REF!</v>
      </c>
      <c r="J32" s="1301" t="e">
        <f>E32-H32</f>
        <v>#REF!</v>
      </c>
      <c r="K32" s="799" t="e">
        <f t="shared" si="7"/>
        <v>#REF!</v>
      </c>
    </row>
    <row r="33" spans="1:66" ht="13.8" thickBot="1">
      <c r="B33" s="2930" t="e">
        <f>'VAL. PRINC'!#REF!</f>
        <v>#REF!</v>
      </c>
      <c r="C33" s="2931"/>
      <c r="D33" s="2932"/>
      <c r="E33" s="717" t="e">
        <f>+'VAL. PRINC'!#REF!</f>
        <v>#REF!</v>
      </c>
      <c r="F33" s="717" t="e">
        <f>+'VAL. PRINC'!#REF!</f>
        <v>#REF!</v>
      </c>
      <c r="G33" s="1354" t="e">
        <f>+'VAL. PRINC'!#REF!</f>
        <v>#REF!</v>
      </c>
      <c r="H33" s="717" t="e">
        <f>+'VAL. PRINC'!#REF!</f>
        <v>#REF!</v>
      </c>
      <c r="I33" s="104" t="e">
        <f t="shared" si="5"/>
        <v>#REF!</v>
      </c>
      <c r="J33" s="1301" t="e">
        <f>E33-H33</f>
        <v>#REF!</v>
      </c>
      <c r="K33" s="799" t="e">
        <f t="shared" si="7"/>
        <v>#REF!</v>
      </c>
    </row>
    <row r="34" spans="1:66" ht="13.8" thickBot="1">
      <c r="B34" s="2935" t="s">
        <v>61</v>
      </c>
      <c r="C34" s="2936"/>
      <c r="D34" s="2936"/>
      <c r="E34" s="727" t="e">
        <f>SUM(E30:E33)</f>
        <v>#REF!</v>
      </c>
      <c r="F34" s="727" t="e">
        <f>SUM(F30:F33)</f>
        <v>#REF!</v>
      </c>
      <c r="G34" s="741" t="e">
        <f>SUM(G30:G33)</f>
        <v>#REF!</v>
      </c>
      <c r="H34" s="727" t="e">
        <f>SUM(H30:H33)</f>
        <v>#REF!</v>
      </c>
      <c r="I34" s="728" t="e">
        <f>H34/E34</f>
        <v>#REF!</v>
      </c>
      <c r="J34" s="727" t="e">
        <f>SUM(J30:J33)-0.02</f>
        <v>#REF!</v>
      </c>
      <c r="K34" s="728" t="e">
        <f>+M22-I34</f>
        <v>#REF!</v>
      </c>
    </row>
    <row r="36" spans="1:66" ht="10.8" thickBot="1"/>
    <row r="37" spans="1:66" s="5" customFormat="1" ht="11.25" customHeight="1">
      <c r="B37" s="2945" t="s">
        <v>66</v>
      </c>
      <c r="C37" s="2920" t="s">
        <v>21</v>
      </c>
      <c r="D37" s="2920"/>
      <c r="E37" s="2920" t="s">
        <v>23</v>
      </c>
      <c r="F37" s="2948" t="s">
        <v>24</v>
      </c>
      <c r="G37" s="2948"/>
      <c r="H37" s="2948"/>
      <c r="I37" s="2948"/>
      <c r="J37" s="2920" t="s">
        <v>25</v>
      </c>
      <c r="K37" s="2921"/>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46"/>
      <c r="C38" s="2922"/>
      <c r="D38" s="2922"/>
      <c r="E38" s="2922"/>
      <c r="F38" s="713" t="s">
        <v>26</v>
      </c>
      <c r="G38" s="713" t="s">
        <v>27</v>
      </c>
      <c r="H38" s="2949" t="s">
        <v>28</v>
      </c>
      <c r="I38" s="2949"/>
      <c r="J38" s="2922"/>
      <c r="K38" s="2923"/>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946"/>
      <c r="C39" s="2922"/>
      <c r="D39" s="2922"/>
      <c r="E39" s="2922"/>
      <c r="F39" s="2952" t="s">
        <v>32</v>
      </c>
      <c r="G39" s="2952" t="s">
        <v>32</v>
      </c>
      <c r="H39" s="2952" t="s">
        <v>32</v>
      </c>
      <c r="I39" s="2922" t="s">
        <v>0</v>
      </c>
      <c r="J39" s="2922" t="s">
        <v>32</v>
      </c>
      <c r="K39" s="2923"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947"/>
      <c r="C40" s="2924"/>
      <c r="D40" s="2924"/>
      <c r="E40" s="2924"/>
      <c r="F40" s="2953"/>
      <c r="G40" s="2953"/>
      <c r="H40" s="2953"/>
      <c r="I40" s="2924"/>
      <c r="J40" s="2924"/>
      <c r="K40" s="2925"/>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38" t="s">
        <v>2233</v>
      </c>
      <c r="D41" s="2938"/>
      <c r="E41" s="1207"/>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1">
        <v>2</v>
      </c>
      <c r="C42" s="2937" t="s">
        <v>257</v>
      </c>
      <c r="D42" s="2937"/>
      <c r="E42" s="1282">
        <f>+'VAL AMP4 MM'!I258</f>
        <v>3433797.0500000012</v>
      </c>
      <c r="F42" s="1283">
        <v>0</v>
      </c>
      <c r="G42" s="1282">
        <f>E42</f>
        <v>3433797.0500000012</v>
      </c>
      <c r="H42" s="1282">
        <v>65987.517200000002</v>
      </c>
      <c r="I42" s="1284">
        <f>H42/E42</f>
        <v>1.9217069686748078E-2</v>
      </c>
      <c r="J42" s="1282">
        <f>E42-H42</f>
        <v>3367809.5328000011</v>
      </c>
      <c r="K42" s="1285">
        <f>J42/E42</f>
        <v>0.98078293031325192</v>
      </c>
    </row>
    <row r="43" spans="1:66" s="53" customFormat="1" ht="11.25" customHeight="1">
      <c r="A43" s="5"/>
      <c r="B43" s="302">
        <v>3</v>
      </c>
      <c r="C43" s="2937" t="s">
        <v>258</v>
      </c>
      <c r="D43" s="2937"/>
      <c r="E43" s="1282">
        <v>17480.96</v>
      </c>
      <c r="F43" s="1283">
        <v>0</v>
      </c>
      <c r="G43" s="1282">
        <f>E43</f>
        <v>17480.96</v>
      </c>
      <c r="H43" s="1282">
        <v>297065.08028204</v>
      </c>
      <c r="I43" s="1286">
        <v>1</v>
      </c>
      <c r="J43" s="1282">
        <f>E43-H43-0.01</f>
        <v>-279584.13028203999</v>
      </c>
      <c r="K43" s="1285">
        <f>J43/E43</f>
        <v>-15.993637093274053</v>
      </c>
    </row>
    <row r="44" spans="1:66" s="53" customFormat="1" ht="11.25" customHeight="1" thickBot="1">
      <c r="B44" s="730"/>
      <c r="C44" s="2957"/>
      <c r="D44" s="2957"/>
      <c r="E44" s="731"/>
      <c r="F44" s="732"/>
      <c r="G44" s="732"/>
      <c r="H44" s="732"/>
      <c r="I44" s="733"/>
      <c r="J44" s="732"/>
      <c r="K44" s="734"/>
    </row>
    <row r="45" spans="1:66" s="5" customFormat="1" ht="13.8" thickBot="1">
      <c r="B45" s="2935" t="s">
        <v>91</v>
      </c>
      <c r="C45" s="2936"/>
      <c r="D45" s="2936"/>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958" t="s">
        <v>92</v>
      </c>
      <c r="C48" s="2959"/>
      <c r="D48" s="2959"/>
      <c r="E48" s="2960"/>
      <c r="F48" s="102" t="e">
        <f>+F45/E41</f>
        <v>#REF!</v>
      </c>
      <c r="G48" s="102" t="e">
        <f>+G45/E41</f>
        <v>#REF!</v>
      </c>
      <c r="H48" s="2954" t="e">
        <f>+H45/E41</f>
        <v>#REF!</v>
      </c>
      <c r="I48" s="2955"/>
      <c r="J48" s="2954" t="e">
        <f>+J45/E41</f>
        <v>#REF!</v>
      </c>
      <c r="K48" s="2955"/>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2956" t="s">
        <v>1928</v>
      </c>
      <c r="C51" s="2956"/>
      <c r="D51" s="2956"/>
      <c r="E51" s="803" t="e">
        <f>+F45</f>
        <v>#REF!</v>
      </c>
      <c r="F51" s="803" t="e">
        <f>+G45</f>
        <v>#REF!</v>
      </c>
      <c r="G51" s="803" t="e">
        <f>+H45</f>
        <v>#REF!</v>
      </c>
      <c r="O51" s="27"/>
      <c r="P51" s="27"/>
      <c r="Q51" s="27"/>
      <c r="R51" s="27"/>
      <c r="S51" s="27"/>
      <c r="T51" s="27"/>
      <c r="U51" s="27"/>
      <c r="V51" s="27"/>
      <c r="W51" s="27"/>
    </row>
    <row r="52" spans="2:23" s="5" customFormat="1" ht="13.8" thickBot="1">
      <c r="B52" s="2956" t="s">
        <v>93</v>
      </c>
      <c r="C52" s="2956"/>
      <c r="D52" s="2956"/>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row>
    <row r="2" spans="1:39">
      <c r="A2" s="2396" t="s">
        <v>1802</v>
      </c>
      <c r="B2" s="2396"/>
      <c r="C2" s="2396"/>
      <c r="D2" s="2396"/>
      <c r="E2" s="2396"/>
      <c r="F2" s="2396"/>
      <c r="G2" s="2396"/>
      <c r="H2" s="2396"/>
      <c r="I2" s="2396"/>
      <c r="J2" s="2396"/>
      <c r="K2" s="2396"/>
    </row>
    <row r="3" spans="1:39">
      <c r="A3" s="621"/>
      <c r="G3" s="563">
        <v>7</v>
      </c>
    </row>
    <row r="4" spans="1:39">
      <c r="A4" s="623"/>
      <c r="B4" s="2397" t="s">
        <v>1800</v>
      </c>
      <c r="C4" s="2397"/>
      <c r="D4" s="2397"/>
      <c r="E4" s="2397"/>
      <c r="F4" s="2397"/>
      <c r="G4" s="2397"/>
      <c r="H4" s="2397"/>
      <c r="I4" s="2397"/>
      <c r="J4" s="2397"/>
      <c r="K4" s="2397"/>
    </row>
    <row r="5" spans="1:39" ht="12.75" customHeight="1">
      <c r="A5" s="623"/>
      <c r="B5" s="2398" t="e">
        <f>#REF!</f>
        <v>#REF!</v>
      </c>
      <c r="C5" s="2399"/>
      <c r="D5" s="2399"/>
      <c r="E5" s="2399"/>
      <c r="F5" s="2399"/>
      <c r="G5" s="2399"/>
      <c r="H5" s="2399"/>
      <c r="I5" s="2399"/>
      <c r="J5" s="2399"/>
      <c r="K5" s="2399"/>
    </row>
    <row r="6" spans="1:39" ht="13.5" customHeight="1">
      <c r="B6" s="625"/>
      <c r="C6" s="567"/>
    </row>
    <row r="7" spans="1:39" ht="13.5" customHeight="1">
      <c r="B7" s="625"/>
      <c r="C7" s="567"/>
    </row>
    <row r="8" spans="1:39" ht="13.5" customHeight="1" thickBot="1">
      <c r="B8" s="625"/>
      <c r="C8" s="567"/>
      <c r="D8" s="971" t="s">
        <v>1992</v>
      </c>
      <c r="E8" s="971" t="s">
        <v>1993</v>
      </c>
      <c r="F8" s="971" t="s">
        <v>1985</v>
      </c>
      <c r="G8" s="971" t="s">
        <v>1986</v>
      </c>
      <c r="H8" s="971" t="s">
        <v>1987</v>
      </c>
      <c r="I8" s="971" t="s">
        <v>1988</v>
      </c>
      <c r="J8" s="971" t="s">
        <v>1989</v>
      </c>
      <c r="K8" s="971" t="s">
        <v>1990</v>
      </c>
      <c r="L8" s="971" t="s">
        <v>1991</v>
      </c>
      <c r="M8" s="971" t="s">
        <v>1985</v>
      </c>
      <c r="N8" s="971" t="s">
        <v>1986</v>
      </c>
      <c r="O8" s="971" t="s">
        <v>1987</v>
      </c>
      <c r="P8" s="971" t="s">
        <v>1988</v>
      </c>
      <c r="Q8" s="971" t="s">
        <v>1989</v>
      </c>
      <c r="R8" s="971" t="s">
        <v>1990</v>
      </c>
      <c r="S8" s="971" t="s">
        <v>1991</v>
      </c>
      <c r="T8" s="971" t="s">
        <v>1985</v>
      </c>
      <c r="U8" s="971" t="s">
        <v>1986</v>
      </c>
      <c r="V8" s="971" t="s">
        <v>1987</v>
      </c>
      <c r="W8" s="971" t="s">
        <v>1988</v>
      </c>
      <c r="X8" s="971" t="s">
        <v>1989</v>
      </c>
      <c r="Y8" s="971" t="s">
        <v>1990</v>
      </c>
      <c r="Z8" s="971" t="s">
        <v>1991</v>
      </c>
      <c r="AA8" s="971" t="s">
        <v>1985</v>
      </c>
      <c r="AB8" s="971" t="s">
        <v>1986</v>
      </c>
      <c r="AC8" s="971" t="s">
        <v>1987</v>
      </c>
      <c r="AD8" s="971" t="s">
        <v>1988</v>
      </c>
      <c r="AE8" s="996" t="s">
        <v>1989</v>
      </c>
      <c r="AF8" s="971" t="s">
        <v>1990</v>
      </c>
      <c r="AG8" s="999" t="s">
        <v>1991</v>
      </c>
      <c r="AH8" s="971" t="s">
        <v>1985</v>
      </c>
      <c r="AI8" s="971"/>
    </row>
    <row r="9" spans="1:39" ht="13.8" thickBot="1">
      <c r="A9" s="2400" t="s">
        <v>285</v>
      </c>
      <c r="B9" s="2400"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01"/>
      <c r="B10" s="2401"/>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1922</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1926</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395" t="s">
        <v>283</v>
      </c>
      <c r="B1" s="2395"/>
      <c r="C1" s="2395"/>
      <c r="D1" s="2395"/>
      <c r="E1" s="2395"/>
      <c r="F1" s="2395"/>
      <c r="G1" s="2395"/>
      <c r="H1" s="2395"/>
      <c r="I1" s="2395"/>
      <c r="J1" s="2395"/>
      <c r="K1" s="2395"/>
      <c r="AD1" s="564"/>
      <c r="AG1" s="564"/>
    </row>
    <row r="2" spans="1:40">
      <c r="A2" s="2396" t="s">
        <v>1802</v>
      </c>
      <c r="B2" s="2396"/>
      <c r="C2" s="2396"/>
      <c r="D2" s="2396"/>
      <c r="E2" s="2396"/>
      <c r="F2" s="2396"/>
      <c r="G2" s="2396"/>
      <c r="H2" s="2396"/>
      <c r="I2" s="2396"/>
      <c r="J2" s="2396"/>
      <c r="K2" s="2396"/>
      <c r="AD2" s="564"/>
      <c r="AG2" s="564"/>
    </row>
    <row r="3" spans="1:40">
      <c r="A3" s="621"/>
      <c r="G3" s="563">
        <v>7</v>
      </c>
      <c r="AD3" s="564"/>
      <c r="AG3" s="564"/>
    </row>
    <row r="4" spans="1:40">
      <c r="A4" s="623"/>
      <c r="B4" s="2397" t="s">
        <v>1800</v>
      </c>
      <c r="C4" s="2397"/>
      <c r="D4" s="2397"/>
      <c r="E4" s="2397"/>
      <c r="F4" s="2397"/>
      <c r="G4" s="2397"/>
      <c r="H4" s="2397"/>
      <c r="I4" s="2397"/>
      <c r="J4" s="2397"/>
      <c r="K4" s="2397"/>
      <c r="AD4" s="564"/>
      <c r="AG4" s="564"/>
    </row>
    <row r="5" spans="1:40" ht="12.75" customHeight="1">
      <c r="A5" s="623"/>
      <c r="B5" s="2398" t="e">
        <v>#REF!</v>
      </c>
      <c r="C5" s="2399"/>
      <c r="D5" s="2399"/>
      <c r="E5" s="2399"/>
      <c r="F5" s="2399"/>
      <c r="G5" s="2399"/>
      <c r="H5" s="2399"/>
      <c r="I5" s="2399"/>
      <c r="J5" s="2399"/>
      <c r="K5" s="2399"/>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2158</v>
      </c>
      <c r="E8" s="971" t="s">
        <v>2159</v>
      </c>
      <c r="F8" s="971" t="s">
        <v>2160</v>
      </c>
      <c r="G8" s="971" t="s">
        <v>2161</v>
      </c>
      <c r="H8" s="971" t="s">
        <v>2162</v>
      </c>
      <c r="I8" s="971" t="s">
        <v>2163</v>
      </c>
      <c r="J8" s="971" t="s">
        <v>2164</v>
      </c>
      <c r="K8" s="1109" t="s">
        <v>2158</v>
      </c>
      <c r="L8" s="971" t="s">
        <v>2159</v>
      </c>
      <c r="M8" s="971" t="s">
        <v>2160</v>
      </c>
      <c r="N8" s="971" t="s">
        <v>2161</v>
      </c>
      <c r="O8" s="971" t="s">
        <v>2162</v>
      </c>
      <c r="P8" s="971" t="s">
        <v>2163</v>
      </c>
      <c r="Q8" s="971" t="s">
        <v>2164</v>
      </c>
      <c r="R8" s="1109" t="s">
        <v>2158</v>
      </c>
      <c r="S8" s="971" t="s">
        <v>2159</v>
      </c>
      <c r="T8" s="971" t="s">
        <v>2160</v>
      </c>
      <c r="U8" s="971" t="s">
        <v>2161</v>
      </c>
      <c r="V8" s="971" t="s">
        <v>2162</v>
      </c>
      <c r="W8" s="971" t="s">
        <v>2163</v>
      </c>
      <c r="X8" s="971" t="s">
        <v>2164</v>
      </c>
      <c r="Y8" s="1109" t="s">
        <v>2158</v>
      </c>
      <c r="Z8" s="971" t="s">
        <v>2159</v>
      </c>
      <c r="AA8" s="971" t="s">
        <v>2160</v>
      </c>
      <c r="AB8" s="971" t="s">
        <v>2161</v>
      </c>
      <c r="AC8" s="971" t="s">
        <v>2162</v>
      </c>
      <c r="AD8" s="971" t="s">
        <v>2163</v>
      </c>
      <c r="AE8" s="971" t="s">
        <v>2164</v>
      </c>
      <c r="AF8" s="1109" t="s">
        <v>2158</v>
      </c>
      <c r="AG8" s="971" t="s">
        <v>2159</v>
      </c>
      <c r="AH8" s="971" t="s">
        <v>2160</v>
      </c>
      <c r="AI8" s="971"/>
      <c r="AJ8" s="602"/>
    </row>
    <row r="9" spans="1:40" ht="13.8" thickBot="1">
      <c r="A9" s="2400" t="s">
        <v>285</v>
      </c>
      <c r="B9" s="2400"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01"/>
      <c r="B10" s="2401"/>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1922</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395" t="s">
        <v>283</v>
      </c>
      <c r="B1" s="2395"/>
      <c r="C1" s="2395"/>
    </row>
    <row r="2" spans="1:9">
      <c r="A2" s="2396" t="s">
        <v>1802</v>
      </c>
      <c r="B2" s="2396"/>
      <c r="C2" s="2396"/>
    </row>
    <row r="3" spans="1:9">
      <c r="A3" s="621"/>
    </row>
    <row r="4" spans="1:9">
      <c r="A4" s="623"/>
      <c r="B4" s="2397" t="s">
        <v>1800</v>
      </c>
      <c r="C4" s="2397"/>
    </row>
    <row r="5" spans="1:9" ht="12.75" customHeight="1">
      <c r="A5" s="623"/>
      <c r="B5" s="2398" t="e">
        <v>#REF!</v>
      </c>
      <c r="C5" s="2399"/>
    </row>
    <row r="6" spans="1:9" ht="13.5" customHeight="1">
      <c r="B6" s="625"/>
      <c r="C6" s="567"/>
    </row>
    <row r="7" spans="1:9" ht="13.5" customHeight="1">
      <c r="B7" s="625"/>
      <c r="C7" s="567"/>
    </row>
    <row r="8" spans="1:9" ht="13.5" customHeight="1" thickBot="1">
      <c r="B8" s="625"/>
      <c r="C8" s="567"/>
      <c r="D8" s="1061"/>
    </row>
    <row r="9" spans="1:9" ht="13.8" thickBot="1">
      <c r="A9" s="2400" t="s">
        <v>285</v>
      </c>
      <c r="B9" s="2400" t="s">
        <v>20</v>
      </c>
      <c r="C9" s="568"/>
      <c r="D9" s="571" t="s">
        <v>359</v>
      </c>
      <c r="E9" s="756" t="s">
        <v>26</v>
      </c>
      <c r="F9" s="755" t="s">
        <v>1822</v>
      </c>
      <c r="G9" s="755" t="s">
        <v>1821</v>
      </c>
      <c r="H9" s="572" t="s">
        <v>25</v>
      </c>
      <c r="I9" s="563" t="s">
        <v>2</v>
      </c>
    </row>
    <row r="10" spans="1:9" ht="13.8" thickBot="1">
      <c r="A10" s="2401"/>
      <c r="B10" s="2401"/>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c r="O3" s="563" t="s">
        <v>2097</v>
      </c>
    </row>
    <row r="4" spans="1:43">
      <c r="A4" s="623"/>
      <c r="B4" s="2397" t="s">
        <v>1800</v>
      </c>
      <c r="C4" s="2397"/>
      <c r="D4" s="2397"/>
      <c r="E4" s="2397"/>
      <c r="F4" s="2397"/>
      <c r="G4" s="2397"/>
      <c r="H4" s="2397"/>
      <c r="I4" s="2397"/>
      <c r="J4" s="2397"/>
      <c r="K4" s="2397"/>
      <c r="L4" s="2397"/>
    </row>
    <row r="5" spans="1:43" ht="12.75" customHeight="1">
      <c r="A5" s="623"/>
      <c r="B5" s="2398" t="e">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1112" t="s">
        <v>1991</v>
      </c>
      <c r="E8" s="1113" t="s">
        <v>1985</v>
      </c>
      <c r="F8" s="1113" t="s">
        <v>1986</v>
      </c>
      <c r="G8" s="1113" t="s">
        <v>1987</v>
      </c>
      <c r="H8" s="1113" t="s">
        <v>1988</v>
      </c>
      <c r="I8" s="1113" t="s">
        <v>1989</v>
      </c>
      <c r="J8" s="1113" t="s">
        <v>1990</v>
      </c>
      <c r="K8" s="1112" t="s">
        <v>1991</v>
      </c>
      <c r="L8" s="1113" t="s">
        <v>1985</v>
      </c>
      <c r="M8" s="1113" t="s">
        <v>1986</v>
      </c>
      <c r="N8" s="1113" t="s">
        <v>1987</v>
      </c>
      <c r="O8" s="1113" t="s">
        <v>1988</v>
      </c>
      <c r="P8" s="1113" t="s">
        <v>1989</v>
      </c>
      <c r="Q8" s="1113" t="s">
        <v>1990</v>
      </c>
      <c r="R8" s="1112" t="s">
        <v>1991</v>
      </c>
      <c r="S8" s="1113" t="s">
        <v>1985</v>
      </c>
      <c r="T8" s="1113" t="s">
        <v>1986</v>
      </c>
      <c r="U8" s="1113" t="s">
        <v>1987</v>
      </c>
      <c r="V8" s="1113" t="s">
        <v>1988</v>
      </c>
      <c r="W8" s="1113" t="s">
        <v>1989</v>
      </c>
      <c r="X8" s="1113" t="s">
        <v>1990</v>
      </c>
      <c r="Y8" s="1112" t="s">
        <v>1991</v>
      </c>
      <c r="Z8" s="1113" t="s">
        <v>1985</v>
      </c>
      <c r="AA8" s="1113" t="s">
        <v>1986</v>
      </c>
      <c r="AB8" s="1113" t="s">
        <v>1987</v>
      </c>
      <c r="AC8" s="1113" t="s">
        <v>1988</v>
      </c>
      <c r="AD8" s="1113" t="s">
        <v>1989</v>
      </c>
      <c r="AE8" s="1113" t="s">
        <v>1990</v>
      </c>
      <c r="AF8" s="1112" t="s">
        <v>1991</v>
      </c>
      <c r="AG8" s="1113" t="s">
        <v>1985</v>
      </c>
      <c r="AH8" s="1113" t="s">
        <v>1986</v>
      </c>
      <c r="AI8" s="971"/>
      <c r="AJ8" s="2404" t="s">
        <v>1983</v>
      </c>
      <c r="AK8" s="2405"/>
      <c r="AL8" s="2405"/>
      <c r="AM8" s="2406"/>
      <c r="AN8" s="2404" t="s">
        <v>1984</v>
      </c>
      <c r="AO8" s="2405"/>
      <c r="AP8" s="2405"/>
      <c r="AQ8" s="2406"/>
    </row>
    <row r="9" spans="1:43" ht="13.8" thickBot="1">
      <c r="A9" s="2400" t="s">
        <v>285</v>
      </c>
      <c r="B9" s="2400"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1930</v>
      </c>
      <c r="B14" s="846" t="s">
        <v>1936</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2011</v>
      </c>
      <c r="B15" s="846" t="s">
        <v>2099</v>
      </c>
      <c r="C15" s="841" t="s">
        <v>2064</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2015</v>
      </c>
      <c r="B16" s="846" t="s">
        <v>2176</v>
      </c>
      <c r="C16" s="841" t="s">
        <v>2134</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2017</v>
      </c>
      <c r="B17" s="846" t="s">
        <v>2177</v>
      </c>
      <c r="C17" s="841" t="s">
        <v>2175</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2105</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2107</v>
      </c>
      <c r="B19" s="846" t="s">
        <v>1950</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2108</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2168</v>
      </c>
      <c r="B21" s="846" t="s">
        <v>1951</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2137</v>
      </c>
      <c r="B22" s="846" t="s">
        <v>1995</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2150</v>
      </c>
      <c r="B23" s="610" t="s">
        <v>2138</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2151</v>
      </c>
      <c r="B24" s="610" t="s">
        <v>2139</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2152</v>
      </c>
      <c r="B25" s="610" t="s">
        <v>2140</v>
      </c>
      <c r="C25" s="620" t="s">
        <v>1939</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2106</v>
      </c>
      <c r="B26" s="1098" t="s">
        <v>2098</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2109</v>
      </c>
      <c r="B27" s="846" t="s">
        <v>2102</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2165</v>
      </c>
      <c r="B28" s="846" t="s">
        <v>2166</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2167</v>
      </c>
      <c r="B29" s="846" t="s">
        <v>2169</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2178</v>
      </c>
      <c r="B30" s="846" t="s">
        <v>2179</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row>
    <row r="2" spans="1:39">
      <c r="A2" s="2396" t="s">
        <v>1802</v>
      </c>
      <c r="B2" s="2396"/>
      <c r="C2" s="2396"/>
      <c r="D2" s="2396"/>
      <c r="E2" s="2396"/>
      <c r="F2" s="2396"/>
      <c r="G2" s="2396"/>
      <c r="H2" s="2396"/>
      <c r="I2" s="2396"/>
      <c r="J2" s="2396"/>
      <c r="K2" s="2396"/>
    </row>
    <row r="3" spans="1:39">
      <c r="A3" s="621"/>
      <c r="G3" s="563">
        <v>7</v>
      </c>
    </row>
    <row r="4" spans="1:39">
      <c r="A4" s="623"/>
      <c r="B4" s="2397" t="s">
        <v>1800</v>
      </c>
      <c r="C4" s="2397"/>
      <c r="D4" s="2397"/>
      <c r="E4" s="2397"/>
      <c r="F4" s="2397"/>
      <c r="G4" s="2397"/>
      <c r="H4" s="2397"/>
      <c r="I4" s="2397"/>
      <c r="J4" s="2397"/>
      <c r="K4" s="2397"/>
    </row>
    <row r="5" spans="1:39" ht="12.75" customHeight="1">
      <c r="A5" s="623"/>
      <c r="B5" s="2398" t="e">
        <f>#REF!</f>
        <v>#REF!</v>
      </c>
      <c r="C5" s="2399"/>
      <c r="D5" s="2399"/>
      <c r="E5" s="2399"/>
      <c r="F5" s="2399"/>
      <c r="G5" s="2399"/>
      <c r="H5" s="2399"/>
      <c r="I5" s="2399"/>
      <c r="J5" s="2399"/>
      <c r="K5" s="2399"/>
    </row>
    <row r="6" spans="1:39" ht="13.5" customHeight="1">
      <c r="B6" s="625"/>
      <c r="C6" s="567"/>
    </row>
    <row r="7" spans="1:39" ht="13.5" customHeight="1">
      <c r="B7" s="625"/>
      <c r="C7" s="567"/>
    </row>
    <row r="8" spans="1:39" ht="13.5" customHeight="1" thickBot="1">
      <c r="B8" s="625"/>
      <c r="C8" s="567"/>
      <c r="D8" s="971" t="s">
        <v>1992</v>
      </c>
      <c r="E8" s="999" t="s">
        <v>1993</v>
      </c>
      <c r="F8" s="971" t="s">
        <v>1985</v>
      </c>
      <c r="G8" s="971" t="s">
        <v>1986</v>
      </c>
      <c r="H8" s="971" t="s">
        <v>1987</v>
      </c>
      <c r="I8" s="971" t="s">
        <v>1988</v>
      </c>
      <c r="J8" s="971" t="s">
        <v>1989</v>
      </c>
      <c r="K8" s="971" t="s">
        <v>1990</v>
      </c>
      <c r="L8" s="999" t="s">
        <v>1991</v>
      </c>
      <c r="M8" s="971" t="s">
        <v>1985</v>
      </c>
      <c r="N8" s="971" t="s">
        <v>1986</v>
      </c>
      <c r="O8" s="971" t="s">
        <v>1987</v>
      </c>
      <c r="P8" s="971" t="s">
        <v>1988</v>
      </c>
      <c r="Q8" s="971" t="s">
        <v>1989</v>
      </c>
      <c r="R8" s="971" t="s">
        <v>1990</v>
      </c>
      <c r="S8" s="999" t="s">
        <v>1991</v>
      </c>
      <c r="T8" s="971" t="s">
        <v>1985</v>
      </c>
      <c r="U8" s="971" t="s">
        <v>1986</v>
      </c>
      <c r="V8" s="971" t="s">
        <v>1987</v>
      </c>
      <c r="W8" s="971" t="s">
        <v>1988</v>
      </c>
      <c r="X8" s="971" t="s">
        <v>1989</v>
      </c>
      <c r="Y8" s="971" t="s">
        <v>1990</v>
      </c>
      <c r="Z8" s="999" t="s">
        <v>1991</v>
      </c>
      <c r="AA8" s="971" t="s">
        <v>1985</v>
      </c>
      <c r="AB8" s="971" t="s">
        <v>1986</v>
      </c>
      <c r="AC8" s="971" t="s">
        <v>1987</v>
      </c>
      <c r="AD8" s="971" t="s">
        <v>1988</v>
      </c>
      <c r="AE8" s="996" t="s">
        <v>1989</v>
      </c>
      <c r="AF8" s="971" t="s">
        <v>1990</v>
      </c>
      <c r="AG8" s="999" t="s">
        <v>1991</v>
      </c>
      <c r="AH8" s="971" t="s">
        <v>1985</v>
      </c>
      <c r="AI8" s="971"/>
    </row>
    <row r="9" spans="1:39" ht="13.8" thickBot="1">
      <c r="A9" s="2400" t="s">
        <v>285</v>
      </c>
      <c r="B9" s="2400"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01"/>
      <c r="B10" s="2401"/>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1922</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1926</v>
      </c>
    </row>
    <row r="687" spans="1:39" s="1042" customFormat="1" ht="24" thickBot="1">
      <c r="A687" s="2969" t="s">
        <v>257</v>
      </c>
      <c r="B687" s="2969"/>
      <c r="C687" s="2969"/>
      <c r="D687" s="2969"/>
      <c r="E687" s="2969"/>
      <c r="F687" s="2969"/>
      <c r="G687" s="2969"/>
      <c r="H687" s="2969"/>
      <c r="I687" s="2969"/>
      <c r="J687" s="2969"/>
      <c r="K687" s="2969"/>
      <c r="L687" s="2969"/>
      <c r="M687" s="2969"/>
      <c r="N687" s="2969"/>
      <c r="O687" s="2969"/>
      <c r="P687" s="2969"/>
      <c r="Q687" s="2969"/>
      <c r="R687" s="2969"/>
      <c r="S687" s="2969"/>
      <c r="T687" s="2969"/>
      <c r="U687" s="2969"/>
      <c r="V687" s="2969"/>
      <c r="W687" s="2969"/>
      <c r="X687" s="2969"/>
      <c r="Y687" s="2969"/>
      <c r="Z687" s="2969"/>
      <c r="AA687" s="2969"/>
      <c r="AB687" s="2969"/>
      <c r="AC687" s="2969"/>
      <c r="AD687" s="2969"/>
      <c r="AE687" s="2969"/>
      <c r="AF687" s="2969"/>
      <c r="AG687" s="2969"/>
      <c r="AH687" s="2969"/>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2970" t="s">
        <v>258</v>
      </c>
      <c r="E831" s="2970"/>
      <c r="F831" s="2970"/>
      <c r="G831" s="2970"/>
      <c r="H831" s="2970"/>
      <c r="I831" s="2970"/>
      <c r="J831" s="2970"/>
      <c r="K831" s="2970"/>
      <c r="L831" s="2970"/>
      <c r="M831" s="2970"/>
      <c r="N831" s="2970"/>
      <c r="O831" s="2970"/>
      <c r="P831" s="2970"/>
      <c r="Q831" s="2970"/>
      <c r="R831" s="2970"/>
      <c r="S831" s="2970"/>
      <c r="T831" s="2970"/>
      <c r="U831" s="2970"/>
      <c r="V831" s="2970"/>
      <c r="W831" s="2970"/>
      <c r="X831" s="2970"/>
      <c r="Y831" s="2970"/>
      <c r="Z831" s="2970"/>
      <c r="AA831" s="2970"/>
      <c r="AB831" s="2970"/>
      <c r="AC831" s="2970"/>
      <c r="AD831" s="2970"/>
      <c r="AE831" s="2970"/>
      <c r="AF831" s="2970"/>
      <c r="AG831" s="2970"/>
      <c r="AH831" s="2970"/>
      <c r="AI831" s="2970"/>
      <c r="AJ831" s="2970"/>
      <c r="AK831" s="2970"/>
      <c r="AL831" s="2970"/>
      <c r="AM831" s="2970"/>
      <c r="AN831" s="2970"/>
      <c r="AO831" s="2970"/>
      <c r="AP831" s="2970"/>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1930</v>
      </c>
      <c r="B835" s="846" t="s">
        <v>1936</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1932</v>
      </c>
      <c r="B836" s="846" t="s">
        <v>1937</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1933</v>
      </c>
      <c r="B837" s="846" t="s">
        <v>1938</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1934</v>
      </c>
      <c r="B838" s="846" t="s">
        <v>1940</v>
      </c>
      <c r="C838" s="840" t="s">
        <v>1939</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1935</v>
      </c>
      <c r="B839" s="846" t="s">
        <v>1931</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1941</v>
      </c>
      <c r="B840" s="846" t="s">
        <v>1945</v>
      </c>
      <c r="C840" s="841" t="s">
        <v>1944</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1942</v>
      </c>
      <c r="B841" s="846" t="s">
        <v>1946</v>
      </c>
      <c r="C841" s="841" t="s">
        <v>1944</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1943</v>
      </c>
      <c r="B842" s="846" t="s">
        <v>1947</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1994</v>
      </c>
      <c r="B843" s="1009" t="s">
        <v>2007</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2005</v>
      </c>
      <c r="B844" s="1009" t="s">
        <v>2096</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2009</v>
      </c>
      <c r="B845" s="1009" t="s">
        <v>2010</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2066</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2067</v>
      </c>
      <c r="B847" s="846" t="s">
        <v>1950</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2068</v>
      </c>
      <c r="B848" s="846" t="s">
        <v>1951</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2069</v>
      </c>
      <c r="B849" s="846" t="s">
        <v>1995</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2070</v>
      </c>
      <c r="B850" s="846" t="s">
        <v>1996</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2071</v>
      </c>
      <c r="B851" s="1009" t="s">
        <v>1997</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2072</v>
      </c>
      <c r="B852" s="1009" t="s">
        <v>1998</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2073</v>
      </c>
      <c r="B853" s="1009" t="s">
        <v>1999</v>
      </c>
      <c r="C853" s="841" t="s">
        <v>1939</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2074</v>
      </c>
      <c r="B854" s="846" t="s">
        <v>2000</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2075</v>
      </c>
      <c r="B855" s="1009" t="s">
        <v>2001</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2076</v>
      </c>
      <c r="B856" s="1009" t="s">
        <v>2002</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2077</v>
      </c>
      <c r="B857" s="1009" t="s">
        <v>2003</v>
      </c>
      <c r="C857" s="841" t="s">
        <v>1939</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2078</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2079</v>
      </c>
      <c r="B859" s="846" t="s">
        <v>1950</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2080</v>
      </c>
      <c r="B860" s="846" t="s">
        <v>1951</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2081</v>
      </c>
      <c r="B861" s="846" t="s">
        <v>1995</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2082</v>
      </c>
      <c r="B862" s="846" t="s">
        <v>1996</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2083</v>
      </c>
      <c r="B863" s="1009" t="s">
        <v>1997</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2084</v>
      </c>
      <c r="B864" s="1009" t="s">
        <v>1998</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2085</v>
      </c>
      <c r="B865" s="1009" t="s">
        <v>1999</v>
      </c>
      <c r="C865" s="841" t="s">
        <v>1939</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2086</v>
      </c>
      <c r="B866" s="846" t="s">
        <v>2000</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2087</v>
      </c>
      <c r="B867" s="1009" t="s">
        <v>2001</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2088</v>
      </c>
      <c r="B868" s="1009" t="s">
        <v>2002</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2089</v>
      </c>
      <c r="B869" s="1009" t="s">
        <v>2003</v>
      </c>
      <c r="C869" s="841" t="s">
        <v>1939</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2090</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2091</v>
      </c>
      <c r="B871" s="846" t="s">
        <v>1950</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2092</v>
      </c>
      <c r="B872" s="846" t="s">
        <v>1951</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8"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395" t="s">
        <v>283</v>
      </c>
      <c r="B1" s="2395"/>
      <c r="C1" s="2395"/>
      <c r="D1" s="2395"/>
      <c r="E1" s="2395"/>
      <c r="F1" s="2395"/>
      <c r="G1" s="2395"/>
      <c r="H1" s="2395"/>
      <c r="I1" s="2395"/>
      <c r="J1" s="2395"/>
      <c r="K1" s="2395"/>
      <c r="R1" s="563"/>
      <c r="Y1" s="563"/>
      <c r="AD1" s="563"/>
      <c r="AF1" s="563"/>
      <c r="AG1" s="563"/>
    </row>
    <row r="2" spans="1:40">
      <c r="A2" s="2396" t="s">
        <v>1802</v>
      </c>
      <c r="B2" s="2396"/>
      <c r="C2" s="2396"/>
      <c r="D2" s="2396"/>
      <c r="E2" s="2396"/>
      <c r="F2" s="2396"/>
      <c r="G2" s="2396"/>
      <c r="H2" s="2396"/>
      <c r="I2" s="2396"/>
      <c r="J2" s="2396"/>
      <c r="K2" s="2396"/>
      <c r="R2" s="563"/>
      <c r="Y2" s="563"/>
      <c r="AD2" s="563"/>
      <c r="AF2" s="563"/>
      <c r="AG2" s="563"/>
    </row>
    <row r="3" spans="1:40">
      <c r="A3" s="621"/>
      <c r="D3" s="563"/>
      <c r="K3" s="563"/>
      <c r="R3" s="563"/>
      <c r="Y3" s="563"/>
      <c r="AD3" s="563"/>
      <c r="AF3" s="563"/>
      <c r="AG3" s="563"/>
    </row>
    <row r="4" spans="1:40">
      <c r="A4" s="623"/>
      <c r="B4" s="2397" t="s">
        <v>1800</v>
      </c>
      <c r="C4" s="2397"/>
      <c r="D4" s="2397"/>
      <c r="E4" s="2397"/>
      <c r="F4" s="2397"/>
      <c r="G4" s="2397"/>
      <c r="H4" s="2397"/>
      <c r="I4" s="2397"/>
      <c r="J4" s="2397"/>
      <c r="K4" s="2397"/>
      <c r="R4" s="563"/>
      <c r="Y4" s="563"/>
      <c r="AD4" s="563"/>
      <c r="AF4" s="563"/>
      <c r="AG4" s="563"/>
    </row>
    <row r="5" spans="1:40" ht="12.75" customHeight="1">
      <c r="A5" s="623"/>
      <c r="B5" s="2398" t="e">
        <f>#REF!</f>
        <v>#REF!</v>
      </c>
      <c r="C5" s="2399"/>
      <c r="D5" s="2399"/>
      <c r="E5" s="2399"/>
      <c r="F5" s="2399"/>
      <c r="G5" s="2399"/>
      <c r="H5" s="2399"/>
      <c r="I5" s="2399"/>
      <c r="J5" s="2399"/>
      <c r="K5" s="2399"/>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7" t="s">
        <v>2184</v>
      </c>
      <c r="E8" s="1167" t="s">
        <v>2162</v>
      </c>
      <c r="F8" s="1167" t="s">
        <v>2163</v>
      </c>
      <c r="G8" s="1167" t="s">
        <v>2164</v>
      </c>
      <c r="H8" s="1167" t="s">
        <v>2158</v>
      </c>
      <c r="I8" s="1167" t="s">
        <v>2159</v>
      </c>
      <c r="J8" s="1167" t="s">
        <v>2160</v>
      </c>
      <c r="K8" s="1167" t="s">
        <v>2161</v>
      </c>
      <c r="L8" s="1167" t="s">
        <v>2162</v>
      </c>
      <c r="M8" s="1167" t="s">
        <v>2163</v>
      </c>
      <c r="N8" s="1167" t="s">
        <v>2164</v>
      </c>
      <c r="O8" s="1159" t="s">
        <v>2158</v>
      </c>
      <c r="P8" s="1167" t="s">
        <v>2159</v>
      </c>
      <c r="Q8" s="1167" t="s">
        <v>2160</v>
      </c>
      <c r="R8" s="1167" t="s">
        <v>2161</v>
      </c>
      <c r="S8" s="1167" t="s">
        <v>2162</v>
      </c>
      <c r="T8" s="1167" t="s">
        <v>2163</v>
      </c>
      <c r="U8" s="1167" t="s">
        <v>2164</v>
      </c>
      <c r="V8" s="1167" t="s">
        <v>2158</v>
      </c>
      <c r="W8" s="1167" t="s">
        <v>2159</v>
      </c>
      <c r="X8" s="1167" t="s">
        <v>2160</v>
      </c>
      <c r="Y8" s="1167" t="s">
        <v>2161</v>
      </c>
      <c r="Z8" s="1167" t="s">
        <v>2162</v>
      </c>
      <c r="AA8" s="1167" t="s">
        <v>2163</v>
      </c>
      <c r="AB8" s="1167" t="s">
        <v>2164</v>
      </c>
      <c r="AC8" s="1167" t="s">
        <v>2158</v>
      </c>
      <c r="AD8" s="1167" t="s">
        <v>2159</v>
      </c>
      <c r="AE8" s="1167" t="s">
        <v>2160</v>
      </c>
      <c r="AF8" s="1167" t="s">
        <v>2161</v>
      </c>
      <c r="AG8" s="1167" t="s">
        <v>2162</v>
      </c>
      <c r="AH8" s="971" t="s">
        <v>2163</v>
      </c>
      <c r="AI8" s="971"/>
      <c r="AJ8" s="602"/>
    </row>
    <row r="9" spans="1:40" ht="13.8" thickBot="1">
      <c r="A9" s="2400" t="s">
        <v>285</v>
      </c>
      <c r="B9" s="2400" t="s">
        <v>20</v>
      </c>
      <c r="C9" s="568"/>
      <c r="D9" s="1166">
        <v>1</v>
      </c>
      <c r="E9" s="1166">
        <f t="shared" ref="E9:AH9" si="0">+D9+1</f>
        <v>2</v>
      </c>
      <c r="F9" s="1166">
        <f t="shared" si="0"/>
        <v>3</v>
      </c>
      <c r="G9" s="1166">
        <f t="shared" si="0"/>
        <v>4</v>
      </c>
      <c r="H9" s="1166">
        <f t="shared" si="0"/>
        <v>5</v>
      </c>
      <c r="I9" s="1166">
        <f t="shared" si="0"/>
        <v>6</v>
      </c>
      <c r="J9" s="1166">
        <f t="shared" si="0"/>
        <v>7</v>
      </c>
      <c r="K9" s="1166">
        <f t="shared" si="0"/>
        <v>8</v>
      </c>
      <c r="L9" s="1166">
        <f t="shared" si="0"/>
        <v>9</v>
      </c>
      <c r="M9" s="1166">
        <f t="shared" si="0"/>
        <v>10</v>
      </c>
      <c r="N9" s="1166">
        <f t="shared" si="0"/>
        <v>11</v>
      </c>
      <c r="O9" s="830">
        <f t="shared" si="0"/>
        <v>12</v>
      </c>
      <c r="P9" s="1166">
        <f t="shared" si="0"/>
        <v>13</v>
      </c>
      <c r="Q9" s="1166">
        <f t="shared" si="0"/>
        <v>14</v>
      </c>
      <c r="R9" s="1166">
        <f t="shared" si="0"/>
        <v>15</v>
      </c>
      <c r="S9" s="1166">
        <f t="shared" si="0"/>
        <v>16</v>
      </c>
      <c r="T9" s="1166">
        <f t="shared" si="0"/>
        <v>17</v>
      </c>
      <c r="U9" s="1166">
        <f t="shared" si="0"/>
        <v>18</v>
      </c>
      <c r="V9" s="1166">
        <f t="shared" si="0"/>
        <v>19</v>
      </c>
      <c r="W9" s="1166">
        <f t="shared" si="0"/>
        <v>20</v>
      </c>
      <c r="X9" s="1166">
        <f t="shared" si="0"/>
        <v>21</v>
      </c>
      <c r="Y9" s="1166">
        <f t="shared" si="0"/>
        <v>22</v>
      </c>
      <c r="Z9" s="1166">
        <f t="shared" si="0"/>
        <v>23</v>
      </c>
      <c r="AA9" s="1166">
        <f t="shared" si="0"/>
        <v>24</v>
      </c>
      <c r="AB9" s="1166">
        <f t="shared" si="0"/>
        <v>25</v>
      </c>
      <c r="AC9" s="1166">
        <f t="shared" si="0"/>
        <v>26</v>
      </c>
      <c r="AD9" s="1166">
        <f t="shared" si="0"/>
        <v>27</v>
      </c>
      <c r="AE9" s="1166">
        <f t="shared" si="0"/>
        <v>28</v>
      </c>
      <c r="AF9" s="1166">
        <f t="shared" si="0"/>
        <v>29</v>
      </c>
      <c r="AG9" s="1166">
        <f t="shared" si="0"/>
        <v>30</v>
      </c>
      <c r="AH9" s="1166">
        <f t="shared" si="0"/>
        <v>31</v>
      </c>
      <c r="AI9" s="571" t="s">
        <v>359</v>
      </c>
      <c r="AJ9" s="1127"/>
      <c r="AK9" s="756" t="s">
        <v>26</v>
      </c>
      <c r="AL9" s="755" t="s">
        <v>1822</v>
      </c>
      <c r="AM9" s="755" t="s">
        <v>1821</v>
      </c>
      <c r="AN9" s="572" t="s">
        <v>25</v>
      </c>
    </row>
    <row r="10" spans="1:40" ht="13.8" thickBot="1">
      <c r="A10" s="2401"/>
      <c r="B10" s="2401"/>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2"/>
      <c r="D11" s="754"/>
      <c r="E11" s="1154"/>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3"/>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1922</v>
      </c>
      <c r="C13" s="1083" t="s">
        <v>64</v>
      </c>
      <c r="D13" s="751"/>
      <c r="E13" s="1161">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60">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60">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6"/>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6"/>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2">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2">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6"/>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6"/>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5"/>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5"/>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5">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8">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8">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8">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2">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3"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2">
        <v>10</v>
      </c>
      <c r="AA67" s="1158">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7">
        <f>10.5*1.1*0.25</f>
        <v>2.8875000000000002</v>
      </c>
      <c r="F69" s="587"/>
      <c r="G69" s="587"/>
      <c r="H69" s="587"/>
      <c r="I69" s="991"/>
      <c r="J69" s="991"/>
      <c r="K69" s="1134">
        <f>4.5*1.5*0.5</f>
        <v>3.375</v>
      </c>
      <c r="L69" s="581"/>
      <c r="M69" s="1158">
        <f>5*2.1*0.3</f>
        <v>3.15</v>
      </c>
      <c r="N69" s="589"/>
      <c r="O69" s="839"/>
      <c r="P69" s="581"/>
      <c r="Q69" s="589"/>
      <c r="R69" s="589"/>
      <c r="S69" s="1138">
        <f>4.5*1.5*0.5</f>
        <v>3.375</v>
      </c>
      <c r="T69" s="1158">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7">
        <f>10.5*1.1*2</f>
        <v>23.1</v>
      </c>
      <c r="F70" s="587"/>
      <c r="G70" s="587"/>
      <c r="I70" s="991"/>
      <c r="J70" s="991"/>
      <c r="K70" s="991"/>
      <c r="L70" s="1138">
        <f>5*1.8*2</f>
        <v>18</v>
      </c>
      <c r="M70" s="587"/>
      <c r="N70" s="589"/>
      <c r="O70" s="851"/>
      <c r="P70" s="581"/>
      <c r="Q70" s="589"/>
      <c r="R70" s="589"/>
      <c r="S70" s="581"/>
      <c r="T70" s="1158">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8">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8">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7">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4">
        <f>3.05*2.6+3.05*2.6+4.4*1.5+3.32*0.3+4.4*0.3+0.42*2.6+0.42*2.6+0.42*2.6+0.27*2.6+0.52*2.6</f>
        <v>30.105999999999998</v>
      </c>
      <c r="T81" s="1158">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8">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8">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8">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8">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8">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8">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8">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8">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8">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8">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7">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8">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8">
        <f>0.9*2.4+1.3*2.8</f>
        <v>5.8</v>
      </c>
      <c r="U125" s="581"/>
      <c r="V125" s="581"/>
      <c r="W125" s="589"/>
      <c r="X125" s="581"/>
      <c r="Y125" s="589"/>
      <c r="Z125" s="589"/>
      <c r="AA125" s="1158">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70">
        <f>2.74*6.25+9.25*0.1</f>
        <v>18.05</v>
      </c>
      <c r="Z128" s="1171">
        <f>3.25*2.7+0.3*3+0.3*3+0.52*2+0.52*2+1*2</f>
        <v>14.655000000000001</v>
      </c>
      <c r="AA128" s="1158">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7"/>
      <c r="R139" s="1167"/>
      <c r="S139" s="886"/>
      <c r="T139" s="889"/>
      <c r="U139" s="886"/>
      <c r="V139" s="886"/>
      <c r="W139" s="1167"/>
      <c r="X139" s="886"/>
      <c r="Y139" s="1167"/>
      <c r="Z139" s="1167"/>
      <c r="AA139" s="889"/>
      <c r="AB139" s="1167"/>
      <c r="AC139" s="1167"/>
      <c r="AD139" s="1167"/>
      <c r="AE139" s="1167"/>
      <c r="AF139" s="1167"/>
      <c r="AG139" s="1167"/>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9"/>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1926</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8"/>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2086</v>
      </c>
      <c r="G21" s="846" t="s">
        <v>2000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row>
    <row r="2" spans="1:39">
      <c r="A2" s="2396" t="s">
        <v>1802</v>
      </c>
      <c r="B2" s="2396"/>
      <c r="C2" s="2396"/>
      <c r="D2" s="2396"/>
      <c r="E2" s="2396"/>
      <c r="F2" s="2396"/>
      <c r="G2" s="2396"/>
      <c r="H2" s="2396"/>
      <c r="I2" s="2396"/>
      <c r="J2" s="2396"/>
      <c r="K2" s="2396"/>
    </row>
    <row r="3" spans="1:39">
      <c r="A3" s="621"/>
    </row>
    <row r="4" spans="1:39">
      <c r="A4" s="623"/>
      <c r="B4" s="2397" t="s">
        <v>1800</v>
      </c>
      <c r="C4" s="2397"/>
      <c r="D4" s="2397"/>
      <c r="E4" s="2397"/>
      <c r="F4" s="2397"/>
      <c r="G4" s="2397"/>
      <c r="H4" s="2397"/>
      <c r="I4" s="2397"/>
      <c r="J4" s="2397"/>
      <c r="K4" s="2397"/>
    </row>
    <row r="5" spans="1:39" ht="12.75" customHeight="1">
      <c r="A5" s="623"/>
      <c r="B5" s="2398" t="e">
        <f>#REF!</f>
        <v>#REF!</v>
      </c>
      <c r="C5" s="2399"/>
      <c r="D5" s="2399"/>
      <c r="E5" s="2399"/>
      <c r="F5" s="2399"/>
      <c r="G5" s="2399"/>
      <c r="H5" s="2399"/>
      <c r="I5" s="2399"/>
      <c r="J5" s="2399"/>
      <c r="K5" s="2399"/>
    </row>
    <row r="6" spans="1:39" ht="13.5" customHeight="1">
      <c r="B6" s="625"/>
      <c r="C6" s="567"/>
    </row>
    <row r="7" spans="1:39" ht="13.5" customHeight="1">
      <c r="B7" s="625"/>
      <c r="C7" s="567"/>
    </row>
    <row r="8" spans="1:39" ht="13.5" customHeight="1" thickBot="1">
      <c r="B8" s="625"/>
      <c r="C8" s="567"/>
      <c r="D8" s="2971"/>
      <c r="E8" s="2971"/>
      <c r="F8" s="2971"/>
      <c r="G8" s="2971"/>
      <c r="H8" s="2971"/>
      <c r="I8" s="2971"/>
      <c r="J8" s="2971"/>
      <c r="K8" s="2971"/>
      <c r="L8" s="2971"/>
      <c r="M8" s="2971"/>
      <c r="N8" s="2971"/>
      <c r="O8" s="2971"/>
      <c r="P8" s="2971"/>
      <c r="Q8" s="2971"/>
      <c r="R8" s="2971"/>
      <c r="S8" s="2971"/>
      <c r="T8" s="2971"/>
      <c r="U8" s="2971"/>
      <c r="V8" s="2971"/>
      <c r="W8" s="2971"/>
      <c r="X8" s="2971"/>
      <c r="Y8" s="2971"/>
      <c r="Z8" s="2971"/>
      <c r="AA8" s="2971"/>
      <c r="AB8" s="2971"/>
      <c r="AC8" s="2971"/>
      <c r="AD8" s="2971"/>
      <c r="AE8" s="2971"/>
      <c r="AF8" s="2971"/>
      <c r="AG8" s="2971"/>
      <c r="AH8" s="2971"/>
      <c r="AI8" s="2971"/>
    </row>
    <row r="9" spans="1:39" ht="13.8" thickBot="1">
      <c r="A9" s="2400" t="s">
        <v>285</v>
      </c>
      <c r="B9" s="2400"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01"/>
      <c r="B10" s="2401"/>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1952</v>
      </c>
      <c r="Q14" s="581" t="s">
        <v>1952</v>
      </c>
      <c r="R14" s="581" t="s">
        <v>1952</v>
      </c>
      <c r="S14" s="581"/>
      <c r="T14" s="581"/>
      <c r="U14" s="851"/>
      <c r="V14" s="851" t="s">
        <v>1952</v>
      </c>
      <c r="W14" s="851" t="s">
        <v>1952</v>
      </c>
      <c r="X14" s="851" t="s">
        <v>1952</v>
      </c>
      <c r="Y14" s="851"/>
      <c r="Z14" s="851" t="s">
        <v>1952</v>
      </c>
      <c r="AA14" s="851" t="s">
        <v>1952</v>
      </c>
      <c r="AB14" s="851"/>
      <c r="AC14" s="851" t="s">
        <v>1952</v>
      </c>
      <c r="AD14" s="581"/>
      <c r="AE14" s="851" t="s">
        <v>1952</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1949</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1930</v>
      </c>
      <c r="B567" s="846" t="s">
        <v>1936</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1933</v>
      </c>
      <c r="B568" s="846" t="s">
        <v>1938</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1934</v>
      </c>
      <c r="B569" s="846" t="s">
        <v>1940</v>
      </c>
      <c r="C569" s="840" t="s">
        <v>1939</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1935</v>
      </c>
      <c r="B570" s="846" t="s">
        <v>1931</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1941</v>
      </c>
      <c r="B571" s="846" t="s">
        <v>1945</v>
      </c>
      <c r="C571" s="841" t="s">
        <v>1944</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1942</v>
      </c>
      <c r="B572" s="846" t="s">
        <v>1946</v>
      </c>
      <c r="C572" s="841" t="s">
        <v>1944</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1943</v>
      </c>
      <c r="B573" s="846" t="s">
        <v>1947</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1950</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1951</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1950</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1951</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1950</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1951</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row>
    <row r="4" spans="1:43">
      <c r="A4" s="623"/>
      <c r="B4" s="2397" t="s">
        <v>1800</v>
      </c>
      <c r="C4" s="2397"/>
      <c r="D4" s="2397"/>
      <c r="E4" s="2397"/>
      <c r="F4" s="2397"/>
      <c r="G4" s="2397"/>
      <c r="H4" s="2397"/>
      <c r="I4" s="2397"/>
      <c r="J4" s="2397"/>
      <c r="K4" s="2397"/>
      <c r="L4" s="2397"/>
    </row>
    <row r="5" spans="1:43"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971" t="s">
        <v>1992</v>
      </c>
      <c r="E8" s="971" t="s">
        <v>1993</v>
      </c>
      <c r="F8" s="971" t="s">
        <v>1985</v>
      </c>
      <c r="G8" s="971" t="s">
        <v>1986</v>
      </c>
      <c r="H8" s="971" t="s">
        <v>1987</v>
      </c>
      <c r="I8" s="971" t="s">
        <v>1988</v>
      </c>
      <c r="J8" s="971" t="s">
        <v>1989</v>
      </c>
      <c r="K8" s="971" t="s">
        <v>1990</v>
      </c>
      <c r="L8" s="971" t="s">
        <v>1991</v>
      </c>
      <c r="M8" s="971" t="s">
        <v>1985</v>
      </c>
      <c r="N8" s="971" t="s">
        <v>1986</v>
      </c>
      <c r="O8" s="971" t="s">
        <v>1987</v>
      </c>
      <c r="P8" s="971" t="s">
        <v>1988</v>
      </c>
      <c r="Q8" s="971" t="s">
        <v>1989</v>
      </c>
      <c r="R8" s="971" t="s">
        <v>1990</v>
      </c>
      <c r="S8" s="971" t="s">
        <v>1991</v>
      </c>
      <c r="T8" s="971" t="s">
        <v>1985</v>
      </c>
      <c r="U8" s="971" t="s">
        <v>1986</v>
      </c>
      <c r="V8" s="971" t="s">
        <v>1987</v>
      </c>
      <c r="W8" s="971" t="s">
        <v>1988</v>
      </c>
      <c r="X8" s="971" t="s">
        <v>1989</v>
      </c>
      <c r="Y8" s="971" t="s">
        <v>1990</v>
      </c>
      <c r="Z8" s="971" t="s">
        <v>1991</v>
      </c>
      <c r="AA8" s="971" t="s">
        <v>1985</v>
      </c>
      <c r="AB8" s="971" t="s">
        <v>1986</v>
      </c>
      <c r="AC8" s="971" t="s">
        <v>1987</v>
      </c>
      <c r="AD8" s="971" t="s">
        <v>1988</v>
      </c>
      <c r="AE8" s="971" t="s">
        <v>1989</v>
      </c>
      <c r="AF8" s="971" t="s">
        <v>1990</v>
      </c>
      <c r="AG8" s="971" t="s">
        <v>1991</v>
      </c>
      <c r="AH8" s="971" t="s">
        <v>1985</v>
      </c>
      <c r="AI8" s="971"/>
      <c r="AJ8" s="2404" t="s">
        <v>1983</v>
      </c>
      <c r="AK8" s="2405"/>
      <c r="AL8" s="2405"/>
      <c r="AM8" s="2406"/>
      <c r="AN8" s="2404" t="s">
        <v>1984</v>
      </c>
      <c r="AO8" s="2405"/>
      <c r="AP8" s="2405"/>
      <c r="AQ8" s="2406"/>
    </row>
    <row r="9" spans="1:43" ht="13.8" thickBot="1">
      <c r="A9" s="2400" t="s">
        <v>285</v>
      </c>
      <c r="B9" s="2400"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1930</v>
      </c>
      <c r="B14" s="846" t="s">
        <v>1936</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1932</v>
      </c>
      <c r="B15" s="846" t="s">
        <v>1937</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1933</v>
      </c>
      <c r="B16" s="846" t="s">
        <v>1938</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1934</v>
      </c>
      <c r="B17" s="846" t="s">
        <v>1940</v>
      </c>
      <c r="C17" s="840" t="s">
        <v>1939</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1935</v>
      </c>
      <c r="B18" s="846" t="s">
        <v>1931</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1941</v>
      </c>
      <c r="B19" s="846" t="s">
        <v>1945</v>
      </c>
      <c r="C19" s="841" t="s">
        <v>1944</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1942</v>
      </c>
      <c r="B20" s="846" t="s">
        <v>1946</v>
      </c>
      <c r="C20" s="841" t="s">
        <v>1944</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1943</v>
      </c>
      <c r="B21" s="846" t="s">
        <v>1947</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1994</v>
      </c>
      <c r="B22" s="846" t="s">
        <v>2007</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2005</v>
      </c>
      <c r="B23" s="846" t="s">
        <v>2006</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2009</v>
      </c>
      <c r="B24" s="846" t="s">
        <v>2010</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2011</v>
      </c>
      <c r="B25" s="846" t="s">
        <v>2012</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2013</v>
      </c>
      <c r="B26" s="846" t="s">
        <v>2018</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2015</v>
      </c>
      <c r="B27" s="846" t="s">
        <v>2014</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2017</v>
      </c>
      <c r="B28" s="846" t="s">
        <v>2016</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2019</v>
      </c>
      <c r="B29" s="846" t="s">
        <v>2020</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2021</v>
      </c>
      <c r="B30" s="846" t="s">
        <v>2022</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2023</v>
      </c>
      <c r="B31" s="846" t="s">
        <v>2026</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2024</v>
      </c>
      <c r="B32" s="846" t="s">
        <v>2035</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2027</v>
      </c>
      <c r="B33" s="846" t="s">
        <v>2025</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2028</v>
      </c>
      <c r="B34" s="846" t="s">
        <v>2032</v>
      </c>
      <c r="C34" s="841" t="s">
        <v>2064</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2030</v>
      </c>
      <c r="B35" s="846" t="s">
        <v>2029</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2033</v>
      </c>
      <c r="B36" s="846" t="s">
        <v>2031</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2034</v>
      </c>
      <c r="B37" s="846" t="s">
        <v>2008</v>
      </c>
      <c r="C37" s="841" t="s">
        <v>2064</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2036</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2038</v>
      </c>
      <c r="B39" s="846" t="s">
        <v>1950</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2039</v>
      </c>
      <c r="B40" s="846" t="s">
        <v>1951</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2040</v>
      </c>
      <c r="B41" s="846" t="s">
        <v>1995</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2041</v>
      </c>
      <c r="B42" s="846" t="s">
        <v>1996</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2043</v>
      </c>
      <c r="B43" s="846" t="s">
        <v>1997</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2044</v>
      </c>
      <c r="B44" s="846" t="s">
        <v>1998</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2045</v>
      </c>
      <c r="B45" s="846" t="s">
        <v>1999</v>
      </c>
      <c r="C45" s="841" t="s">
        <v>1939</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2042</v>
      </c>
      <c r="B46" s="846" t="s">
        <v>2000</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2046</v>
      </c>
      <c r="B47" s="846" t="s">
        <v>2001</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2047</v>
      </c>
      <c r="B48" s="846" t="s">
        <v>2002</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2048</v>
      </c>
      <c r="B49" s="846" t="s">
        <v>2003</v>
      </c>
      <c r="C49" s="841" t="s">
        <v>1939</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2037</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2049</v>
      </c>
      <c r="B51" s="846" t="s">
        <v>1950</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2051</v>
      </c>
      <c r="B52" s="846" t="s">
        <v>1951</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2050</v>
      </c>
      <c r="B53" s="846" t="s">
        <v>1995</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2052</v>
      </c>
      <c r="B54" s="846" t="s">
        <v>1996</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2054</v>
      </c>
      <c r="B55" s="846" t="s">
        <v>1997</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2055</v>
      </c>
      <c r="B56" s="846" t="s">
        <v>1998</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2056</v>
      </c>
      <c r="B57" s="846" t="s">
        <v>1999</v>
      </c>
      <c r="C57" s="841" t="s">
        <v>1939</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2053</v>
      </c>
      <c r="B58" s="846" t="s">
        <v>2000</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2057</v>
      </c>
      <c r="B59" s="846" t="s">
        <v>2001</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2058</v>
      </c>
      <c r="B60" s="846" t="s">
        <v>2002</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2059</v>
      </c>
      <c r="B61" s="846" t="s">
        <v>2003</v>
      </c>
      <c r="C61" s="841" t="s">
        <v>1939</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2060</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2061</v>
      </c>
      <c r="B63" s="846" t="s">
        <v>1950</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2062</v>
      </c>
      <c r="B64" s="846" t="s">
        <v>1951</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2063</v>
      </c>
      <c r="B65" s="846" t="s">
        <v>2004</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8"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8"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0">
      <c r="A2" s="2396" t="s">
        <v>1802</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0">
      <c r="A3" s="621"/>
    </row>
    <row r="4" spans="1:40">
      <c r="A4" s="623"/>
      <c r="B4" s="2397" t="s">
        <v>1800</v>
      </c>
      <c r="C4" s="2397"/>
      <c r="D4" s="2397"/>
      <c r="E4" s="2397"/>
      <c r="F4" s="2397"/>
      <c r="G4" s="2397"/>
      <c r="H4" s="2397"/>
      <c r="I4" s="2397"/>
      <c r="J4" s="2397"/>
      <c r="K4" s="2397"/>
      <c r="L4" s="2397"/>
    </row>
    <row r="5" spans="1:40"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0" ht="13.5" customHeight="1">
      <c r="B6" s="625"/>
      <c r="C6" s="567"/>
    </row>
    <row r="7" spans="1:40" ht="13.5" customHeight="1">
      <c r="B7" s="625"/>
      <c r="C7" s="567"/>
      <c r="Q7" s="2402" t="s">
        <v>284</v>
      </c>
      <c r="R7" s="2402"/>
      <c r="S7" s="2402"/>
      <c r="T7" s="2402"/>
      <c r="U7" s="2402"/>
      <c r="V7" s="2402"/>
      <c r="W7" s="2403">
        <v>42888</v>
      </c>
      <c r="X7" s="2403"/>
      <c r="Y7" s="2403"/>
      <c r="Z7" s="2403"/>
    </row>
    <row r="8" spans="1:40" ht="13.5" customHeight="1" thickBot="1">
      <c r="B8" s="625"/>
      <c r="C8" s="567"/>
      <c r="D8" s="971" t="s">
        <v>2163</v>
      </c>
      <c r="E8" s="971" t="s">
        <v>2164</v>
      </c>
      <c r="F8" s="1109" t="s">
        <v>2158</v>
      </c>
      <c r="G8" s="971" t="s">
        <v>2159</v>
      </c>
      <c r="H8" s="971" t="s">
        <v>2160</v>
      </c>
      <c r="I8" s="971" t="s">
        <v>2161</v>
      </c>
      <c r="J8" s="971" t="s">
        <v>2162</v>
      </c>
      <c r="K8" s="996" t="s">
        <v>2163</v>
      </c>
      <c r="L8" s="971" t="s">
        <v>2164</v>
      </c>
      <c r="M8" s="1109" t="s">
        <v>2158</v>
      </c>
      <c r="N8" s="971" t="s">
        <v>2159</v>
      </c>
      <c r="O8" s="971" t="s">
        <v>2160</v>
      </c>
      <c r="P8" s="971" t="s">
        <v>2161</v>
      </c>
      <c r="Q8" s="971" t="s">
        <v>2162</v>
      </c>
      <c r="R8" s="971" t="s">
        <v>2163</v>
      </c>
      <c r="S8" s="971" t="s">
        <v>2164</v>
      </c>
      <c r="T8" s="1109" t="s">
        <v>2158</v>
      </c>
      <c r="U8" s="971" t="s">
        <v>2159</v>
      </c>
      <c r="V8" s="971" t="s">
        <v>2160</v>
      </c>
      <c r="W8" s="971" t="s">
        <v>2161</v>
      </c>
      <c r="X8" s="971" t="s">
        <v>2162</v>
      </c>
      <c r="Y8" s="971" t="s">
        <v>2163</v>
      </c>
      <c r="Z8" s="971" t="s">
        <v>2164</v>
      </c>
      <c r="AA8" s="1109" t="s">
        <v>2158</v>
      </c>
      <c r="AB8" s="996" t="s">
        <v>2159</v>
      </c>
      <c r="AC8" s="971" t="s">
        <v>2160</v>
      </c>
      <c r="AD8" s="971" t="s">
        <v>2161</v>
      </c>
      <c r="AE8" s="971" t="s">
        <v>2162</v>
      </c>
      <c r="AF8" s="971" t="s">
        <v>2163</v>
      </c>
      <c r="AG8" s="971" t="s">
        <v>2162</v>
      </c>
      <c r="AH8" s="971" t="s">
        <v>2163</v>
      </c>
      <c r="AI8" s="1061"/>
    </row>
    <row r="9" spans="1:40" ht="13.8" thickBot="1">
      <c r="A9" s="2400" t="s">
        <v>285</v>
      </c>
      <c r="B9" s="2400" t="s">
        <v>20</v>
      </c>
      <c r="C9" s="568"/>
      <c r="D9" s="1191">
        <v>1</v>
      </c>
      <c r="E9" s="1191">
        <f>+D9+1</f>
        <v>2</v>
      </c>
      <c r="F9" s="830">
        <f t="shared" ref="F9:AH9" si="0">+E9+1</f>
        <v>3</v>
      </c>
      <c r="G9" s="1191">
        <f t="shared" si="0"/>
        <v>4</v>
      </c>
      <c r="H9" s="1191">
        <f t="shared" si="0"/>
        <v>5</v>
      </c>
      <c r="I9" s="1191">
        <f t="shared" si="0"/>
        <v>6</v>
      </c>
      <c r="J9" s="1191">
        <f t="shared" si="0"/>
        <v>7</v>
      </c>
      <c r="K9" s="857">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+T9+1</f>
        <v>18</v>
      </c>
      <c r="V9" s="1191">
        <f>+U9+1</f>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+AF9+1</f>
        <v>30</v>
      </c>
      <c r="AH9" s="570">
        <f t="shared" si="0"/>
        <v>31</v>
      </c>
      <c r="AI9" s="571" t="s">
        <v>359</v>
      </c>
      <c r="AJ9" s="756" t="s">
        <v>26</v>
      </c>
      <c r="AK9" s="755" t="s">
        <v>1822</v>
      </c>
      <c r="AL9" s="755" t="s">
        <v>1821</v>
      </c>
      <c r="AM9" s="572" t="s">
        <v>25</v>
      </c>
      <c r="AN9" s="563" t="s">
        <v>2</v>
      </c>
    </row>
    <row r="10" spans="1:40" ht="13.8" thickBot="1">
      <c r="A10" s="2401"/>
      <c r="B10" s="2401"/>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1"/>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90"/>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9"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9"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90"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9"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9"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3"/>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4"/>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2">
        <f>2*2.8*0.35*0.15+2*2.8*0.35*0.15</f>
        <v>0.58799999999999986</v>
      </c>
      <c r="X237" s="581"/>
      <c r="Y237" s="581"/>
      <c r="Z237" s="581"/>
      <c r="AA237" s="820"/>
      <c r="AB237" s="859"/>
      <c r="AC237" s="581"/>
      <c r="AD237" s="581"/>
      <c r="AE237" s="790"/>
      <c r="AF237" s="581"/>
      <c r="AG237" s="581"/>
      <c r="AH237" s="884"/>
      <c r="AI237" s="1205">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5">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6">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5">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8">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2">
        <v>4.1900000000000004</v>
      </c>
      <c r="AE415" s="790"/>
      <c r="AF415" s="581"/>
      <c r="AG415" s="581"/>
      <c r="AH415" s="884"/>
      <c r="AI415" s="1205">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2">
        <f>2.9*3.2</f>
        <v>9.2799999999999994</v>
      </c>
      <c r="R499" s="1138">
        <f>1.7*2.7</f>
        <v>4.59</v>
      </c>
      <c r="S499" s="1192">
        <f>2*2.7</f>
        <v>5.4</v>
      </c>
      <c r="T499" s="851"/>
      <c r="U499" s="1192">
        <f>3.5*0.56</f>
        <v>1.9600000000000002</v>
      </c>
      <c r="V499" s="1192">
        <f>3.5*2.25</f>
        <v>7.875</v>
      </c>
      <c r="W499" s="581"/>
      <c r="X499" s="581"/>
      <c r="Z499" s="1170">
        <f>2.95*3.3</f>
        <v>9.7349999999999994</v>
      </c>
      <c r="AA499" s="851"/>
      <c r="AB499" s="859"/>
      <c r="AC499" s="1194">
        <f>2.65*2.35</f>
        <v>6.2275</v>
      </c>
      <c r="AD499" s="581"/>
      <c r="AE499" s="790"/>
      <c r="AF499" s="581"/>
      <c r="AG499" s="581"/>
      <c r="AH499" s="884"/>
      <c r="AI499" s="1205">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2">
        <f>2.2*0.5+2.45*0.5+2.8*0.5</f>
        <v>3.7250000000000001</v>
      </c>
      <c r="T501" s="851"/>
      <c r="U501" s="581"/>
      <c r="V501" s="1192">
        <f>3.1*0.27+8.75*0.27+2.6*0.6</f>
        <v>4.759500000000001</v>
      </c>
      <c r="W501" s="581"/>
      <c r="X501" s="589"/>
      <c r="Y501" s="1138">
        <f>11.5*0.45</f>
        <v>5.1749999999999998</v>
      </c>
      <c r="Z501" s="589"/>
      <c r="AA501" s="851"/>
      <c r="AB501" s="859"/>
      <c r="AC501" s="581"/>
      <c r="AD501" s="581"/>
      <c r="AE501" s="790"/>
      <c r="AF501" s="581"/>
      <c r="AG501" s="581"/>
      <c r="AH501" s="884"/>
      <c r="AI501" s="1205">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2">
        <f>3.5*1.8</f>
        <v>6.3</v>
      </c>
      <c r="T509" s="851"/>
      <c r="U509" s="1192">
        <f>3.5*0.56+2.25*0.26+3.3*2.95</f>
        <v>12.28</v>
      </c>
      <c r="V509" s="1192">
        <f>3.5*2.25+3.2*0.8+2.45*2.4</f>
        <v>16.315000000000001</v>
      </c>
      <c r="W509" s="581"/>
      <c r="X509" s="581"/>
      <c r="Z509" s="1170">
        <f>2.95*3.3</f>
        <v>9.7349999999999994</v>
      </c>
      <c r="AA509" s="851"/>
      <c r="AB509" s="859"/>
      <c r="AC509" s="1194">
        <f>2.65*2.35</f>
        <v>6.2275</v>
      </c>
      <c r="AD509" s="581"/>
      <c r="AE509" s="790"/>
      <c r="AF509" s="581"/>
      <c r="AG509" s="581"/>
      <c r="AH509" s="884"/>
      <c r="AI509" s="1205">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2"/>
      <c r="L679" s="886"/>
      <c r="M679" s="893"/>
      <c r="N679" s="886"/>
      <c r="O679" s="886"/>
      <c r="P679" s="886"/>
      <c r="Q679" s="886"/>
      <c r="R679" s="886"/>
      <c r="S679" s="886"/>
      <c r="T679" s="893"/>
      <c r="U679" s="886"/>
      <c r="V679" s="886"/>
      <c r="W679" s="886"/>
      <c r="X679" s="886"/>
      <c r="Y679" s="886"/>
      <c r="Z679" s="886"/>
      <c r="AA679" s="893"/>
      <c r="AB679" s="1195"/>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8"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row>
    <row r="4" spans="1:43">
      <c r="A4" s="623"/>
      <c r="B4" s="2397" t="s">
        <v>1800</v>
      </c>
      <c r="C4" s="2397"/>
      <c r="D4" s="2397"/>
      <c r="E4" s="2397"/>
      <c r="F4" s="2397"/>
      <c r="G4" s="2397"/>
      <c r="H4" s="2397"/>
      <c r="I4" s="2397"/>
      <c r="J4" s="2397"/>
      <c r="K4" s="2397"/>
      <c r="L4" s="2397"/>
    </row>
    <row r="5" spans="1:43"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1113" t="s">
        <v>2195</v>
      </c>
      <c r="E8" s="1113" t="s">
        <v>2164</v>
      </c>
      <c r="F8" s="1112" t="s">
        <v>2158</v>
      </c>
      <c r="G8" s="1113" t="s">
        <v>2159</v>
      </c>
      <c r="H8" s="1113" t="s">
        <v>2160</v>
      </c>
      <c r="I8" s="1113" t="s">
        <v>2161</v>
      </c>
      <c r="J8" s="1113" t="s">
        <v>2162</v>
      </c>
      <c r="K8" s="1113" t="s">
        <v>2163</v>
      </c>
      <c r="L8" s="1113" t="s">
        <v>2164</v>
      </c>
      <c r="M8" s="1112" t="s">
        <v>2158</v>
      </c>
      <c r="N8" s="1113" t="s">
        <v>2159</v>
      </c>
      <c r="O8" s="1113" t="s">
        <v>2160</v>
      </c>
      <c r="P8" s="1113" t="s">
        <v>2161</v>
      </c>
      <c r="Q8" s="1113" t="s">
        <v>2162</v>
      </c>
      <c r="R8" s="1113" t="s">
        <v>2163</v>
      </c>
      <c r="S8" s="1113" t="s">
        <v>2164</v>
      </c>
      <c r="T8" s="1112" t="s">
        <v>2158</v>
      </c>
      <c r="U8" s="1113" t="s">
        <v>2159</v>
      </c>
      <c r="V8" s="1113" t="s">
        <v>2160</v>
      </c>
      <c r="W8" s="1113" t="s">
        <v>2161</v>
      </c>
      <c r="X8" s="1113" t="s">
        <v>2162</v>
      </c>
      <c r="Y8" s="1113" t="s">
        <v>2163</v>
      </c>
      <c r="Z8" s="1113" t="s">
        <v>2164</v>
      </c>
      <c r="AA8" s="1112" t="s">
        <v>2158</v>
      </c>
      <c r="AB8" s="1196" t="s">
        <v>2159</v>
      </c>
      <c r="AC8" s="1113" t="s">
        <v>2160</v>
      </c>
      <c r="AD8" s="1113" t="s">
        <v>2161</v>
      </c>
      <c r="AE8" s="1113" t="s">
        <v>2162</v>
      </c>
      <c r="AF8" s="1113" t="s">
        <v>2163</v>
      </c>
      <c r="AG8" s="1113" t="s">
        <v>2164</v>
      </c>
      <c r="AH8" s="1113" t="s">
        <v>2158</v>
      </c>
      <c r="AI8" s="971"/>
      <c r="AJ8" s="2404" t="s">
        <v>1983</v>
      </c>
      <c r="AK8" s="2405"/>
      <c r="AL8" s="2405"/>
      <c r="AM8" s="2406"/>
      <c r="AN8" s="2404" t="s">
        <v>1984</v>
      </c>
      <c r="AO8" s="2405"/>
      <c r="AP8" s="2405"/>
      <c r="AQ8" s="2406"/>
    </row>
    <row r="9" spans="1:43" ht="13.8" thickBot="1">
      <c r="A9" s="2400" t="s">
        <v>285</v>
      </c>
      <c r="B9" s="2400" t="s">
        <v>20</v>
      </c>
      <c r="C9" s="568"/>
      <c r="D9" s="1191">
        <v>1</v>
      </c>
      <c r="E9" s="1191">
        <f t="shared" ref="E9:AH9" si="0">+D9+1</f>
        <v>2</v>
      </c>
      <c r="F9" s="830">
        <f t="shared" si="0"/>
        <v>3</v>
      </c>
      <c r="G9" s="1191">
        <f t="shared" si="0"/>
        <v>4</v>
      </c>
      <c r="H9" s="1191">
        <f t="shared" si="0"/>
        <v>5</v>
      </c>
      <c r="I9" s="1191">
        <f t="shared" si="0"/>
        <v>6</v>
      </c>
      <c r="J9" s="1191">
        <f t="shared" si="0"/>
        <v>7</v>
      </c>
      <c r="K9" s="1191">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 t="shared" si="0"/>
        <v>18</v>
      </c>
      <c r="V9" s="1191">
        <f t="shared" si="0"/>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90"/>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9"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1930</v>
      </c>
      <c r="B14" s="846" t="s">
        <v>1936</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1932</v>
      </c>
      <c r="B15" s="846" t="s">
        <v>1937</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1933</v>
      </c>
      <c r="B16" s="846" t="s">
        <v>1938</v>
      </c>
      <c r="C16" s="840" t="s">
        <v>40</v>
      </c>
      <c r="D16" s="1189"/>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1934</v>
      </c>
      <c r="B17" s="846" t="s">
        <v>1940</v>
      </c>
      <c r="C17" s="840" t="s">
        <v>1939</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1935</v>
      </c>
      <c r="B18" s="846" t="s">
        <v>1931</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1941</v>
      </c>
      <c r="B19" s="846" t="s">
        <v>1945</v>
      </c>
      <c r="C19" s="841" t="s">
        <v>1944</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1942</v>
      </c>
      <c r="B20" s="846" t="s">
        <v>1946</v>
      </c>
      <c r="C20" s="841" t="s">
        <v>1944</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1943</v>
      </c>
      <c r="B21" s="846" t="s">
        <v>1947</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1994</v>
      </c>
      <c r="B22" s="846" t="s">
        <v>2007</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2005</v>
      </c>
      <c r="B23" s="846" t="s">
        <v>2006</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2009</v>
      </c>
      <c r="B24" s="846" t="s">
        <v>2010</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2011</v>
      </c>
      <c r="B25" s="846" t="s">
        <v>2099</v>
      </c>
      <c r="C25" s="841" t="s">
        <v>2064</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2013</v>
      </c>
      <c r="B26" s="846" t="s">
        <v>2133</v>
      </c>
      <c r="C26" s="841" t="s">
        <v>2134</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2015</v>
      </c>
      <c r="B27" s="846" t="s">
        <v>2176</v>
      </c>
      <c r="C27" s="841" t="s">
        <v>2134</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2017</v>
      </c>
      <c r="B28" s="846" t="s">
        <v>2177</v>
      </c>
      <c r="C28" s="841" t="s">
        <v>2175</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7" t="s">
        <v>2019</v>
      </c>
      <c r="B29" s="846" t="s">
        <v>2211</v>
      </c>
      <c r="C29" s="841" t="s">
        <v>2212</v>
      </c>
      <c r="D29" s="1185">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8"/>
      <c r="AC29" s="844"/>
      <c r="AD29" s="844"/>
      <c r="AE29" s="844"/>
      <c r="AF29" s="844"/>
      <c r="AG29" s="844"/>
      <c r="AH29" s="828"/>
      <c r="AI29" s="1103">
        <f t="shared" si="1"/>
        <v>100</v>
      </c>
      <c r="AJ29" s="853"/>
      <c r="AK29" s="584"/>
      <c r="AM29" s="584"/>
    </row>
    <row r="30" spans="1:43" s="566" customFormat="1" ht="13.35" customHeight="1">
      <c r="A30" s="1197" t="s">
        <v>2021</v>
      </c>
      <c r="B30" s="846" t="s">
        <v>2213</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8"/>
      <c r="AC30" s="844"/>
      <c r="AD30" s="844"/>
      <c r="AE30" s="844"/>
      <c r="AF30" s="844"/>
      <c r="AG30" s="844"/>
      <c r="AH30" s="828"/>
      <c r="AI30" s="1103">
        <f t="shared" si="1"/>
        <v>107</v>
      </c>
      <c r="AJ30" s="853"/>
      <c r="AK30" s="584"/>
      <c r="AM30" s="584"/>
    </row>
    <row r="31" spans="1:43" s="566" customFormat="1" ht="13.35" customHeight="1">
      <c r="A31" s="1197" t="s">
        <v>2023</v>
      </c>
      <c r="B31" s="846" t="s">
        <v>2214</v>
      </c>
      <c r="C31" s="841" t="s">
        <v>37</v>
      </c>
      <c r="D31" s="1185">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8"/>
      <c r="AC31" s="844"/>
      <c r="AD31" s="844"/>
      <c r="AE31" s="844"/>
      <c r="AF31" s="844"/>
      <c r="AG31" s="844"/>
      <c r="AH31" s="828"/>
      <c r="AI31" s="1103">
        <f t="shared" si="1"/>
        <v>120</v>
      </c>
      <c r="AJ31" s="853"/>
      <c r="AK31" s="584"/>
      <c r="AM31" s="584"/>
    </row>
    <row r="32" spans="1:43" s="566" customFormat="1" ht="13.8">
      <c r="A32" s="1097" t="s">
        <v>2066</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2067</v>
      </c>
      <c r="B33" s="1098" t="s">
        <v>1950</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2068</v>
      </c>
      <c r="B34" s="846" t="s">
        <v>1951</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2069</v>
      </c>
      <c r="B35" s="846" t="s">
        <v>1995</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2070</v>
      </c>
      <c r="B36" s="846" t="s">
        <v>1996</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2071</v>
      </c>
      <c r="B37" s="846" t="s">
        <v>1997</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2072</v>
      </c>
      <c r="B38" s="846" t="s">
        <v>1998</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2073</v>
      </c>
      <c r="B39" s="846" t="s">
        <v>1999</v>
      </c>
      <c r="C39" s="841" t="s">
        <v>1939</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2074</v>
      </c>
      <c r="B40" s="846" t="s">
        <v>2000</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2075</v>
      </c>
      <c r="B41" s="846" t="s">
        <v>2001</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2076</v>
      </c>
      <c r="B42" s="846" t="s">
        <v>2002</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2077</v>
      </c>
      <c r="B43" s="846" t="s">
        <v>2003</v>
      </c>
      <c r="C43" s="841" t="s">
        <v>1939</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2078</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2079</v>
      </c>
      <c r="B45" s="846" t="s">
        <v>1950</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2080</v>
      </c>
      <c r="B46" s="846" t="s">
        <v>1951</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2081</v>
      </c>
      <c r="B47" s="846" t="s">
        <v>1995</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2082</v>
      </c>
      <c r="B48" s="846" t="s">
        <v>1996</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2083</v>
      </c>
      <c r="B49" s="846" t="s">
        <v>1997</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2084</v>
      </c>
      <c r="B50" s="846" t="s">
        <v>1998</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2085</v>
      </c>
      <c r="B51" s="846" t="s">
        <v>1999</v>
      </c>
      <c r="C51" s="841" t="s">
        <v>1939</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2086</v>
      </c>
      <c r="B52" s="846" t="s">
        <v>2000</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2087</v>
      </c>
      <c r="B53" s="846" t="s">
        <v>2001</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2088</v>
      </c>
      <c r="B54" s="846" t="s">
        <v>2002</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2089</v>
      </c>
      <c r="B55" s="846" t="s">
        <v>2003</v>
      </c>
      <c r="C55" s="841" t="s">
        <v>1939</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2185</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2186</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2187</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2188</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2090</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2091</v>
      </c>
      <c r="B61" s="846" t="s">
        <v>1950</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2092</v>
      </c>
      <c r="B62" s="846" t="s">
        <v>1951</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2093</v>
      </c>
      <c r="B63" s="846" t="s">
        <v>2004</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2103</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2104</v>
      </c>
      <c r="B65" s="1098" t="s">
        <v>2100</v>
      </c>
      <c r="C65" s="841" t="s">
        <v>2101</v>
      </c>
      <c r="D65" s="842"/>
      <c r="E65" s="842"/>
      <c r="F65" s="843"/>
      <c r="G65" s="842"/>
      <c r="H65" s="842"/>
      <c r="I65" s="844"/>
      <c r="J65" s="844"/>
      <c r="K65" s="844"/>
      <c r="L65" s="844"/>
      <c r="M65" s="843"/>
      <c r="N65" s="844"/>
      <c r="O65" s="751"/>
      <c r="P65" s="844"/>
      <c r="Q65" s="1193">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2215</v>
      </c>
      <c r="B66" s="613" t="s">
        <v>2216</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2217</v>
      </c>
      <c r="B67" s="610" t="s">
        <v>2216</v>
      </c>
      <c r="C67" s="620" t="s">
        <v>2101</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2117</v>
      </c>
      <c r="B68" s="1098" t="s">
        <v>1995</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2118</v>
      </c>
      <c r="B69" s="610" t="s">
        <v>2120</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2119</v>
      </c>
      <c r="B70" s="610" t="s">
        <v>2122</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2121</v>
      </c>
      <c r="B71" s="610" t="s">
        <v>2123</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2136</v>
      </c>
      <c r="B72" s="846" t="s">
        <v>225</v>
      </c>
      <c r="C72" s="620" t="s">
        <v>2135</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2231</v>
      </c>
      <c r="B73" s="846" t="s">
        <v>1950</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2232</v>
      </c>
      <c r="B74" s="846" t="s">
        <v>225</v>
      </c>
      <c r="C74" s="620" t="s">
        <v>2135</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2105</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2107</v>
      </c>
      <c r="B76" s="846" t="s">
        <v>1950</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2108</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2168</v>
      </c>
      <c r="B78" s="846" t="s">
        <v>1951</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2137</v>
      </c>
      <c r="B79" s="846" t="s">
        <v>1995</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2150</v>
      </c>
      <c r="B80" s="610" t="s">
        <v>2138</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2151</v>
      </c>
      <c r="B81" s="610" t="s">
        <v>2139</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2152</v>
      </c>
      <c r="B82" s="610" t="s">
        <v>2140</v>
      </c>
      <c r="C82" s="620" t="s">
        <v>1939</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2197</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2198</v>
      </c>
      <c r="B84" s="610" t="s">
        <v>2196</v>
      </c>
      <c r="C84" s="620" t="s">
        <v>2101</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2193</v>
      </c>
      <c r="C86" s="620" t="s">
        <v>37</v>
      </c>
      <c r="D86" s="842"/>
      <c r="E86" s="842"/>
      <c r="F86" s="843"/>
      <c r="G86" s="1151"/>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2106</v>
      </c>
      <c r="B87" s="1098" t="s">
        <v>2098</v>
      </c>
      <c r="C87" s="620"/>
      <c r="D87" s="842"/>
      <c r="E87" s="842"/>
      <c r="F87" s="843"/>
      <c r="G87" s="1151"/>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2109</v>
      </c>
      <c r="B88" s="846" t="s">
        <v>2102</v>
      </c>
      <c r="C88" s="620" t="s">
        <v>58</v>
      </c>
      <c r="D88" s="842"/>
      <c r="E88" s="842"/>
      <c r="F88" s="843"/>
      <c r="G88" s="1151"/>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2165</v>
      </c>
      <c r="B89" s="846" t="s">
        <v>2166</v>
      </c>
      <c r="C89" s="620" t="s">
        <v>58</v>
      </c>
      <c r="D89" s="842"/>
      <c r="E89" s="842"/>
      <c r="F89" s="843"/>
      <c r="G89" s="1151"/>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2167</v>
      </c>
      <c r="B90" s="846" t="s">
        <v>2169</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2178</v>
      </c>
      <c r="B91" s="846" t="s">
        <v>2179</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2191</v>
      </c>
      <c r="B92" s="846" t="s">
        <v>2192</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2111</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2141</v>
      </c>
      <c r="B94" s="846" t="s">
        <v>1995</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2142</v>
      </c>
      <c r="B95" s="846" t="s">
        <v>1996</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2143</v>
      </c>
      <c r="B96" s="846" t="s">
        <v>1997</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2144</v>
      </c>
      <c r="B97" s="846" t="s">
        <v>1998</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2145</v>
      </c>
      <c r="B98" s="846" t="s">
        <v>1999</v>
      </c>
      <c r="C98" s="620" t="s">
        <v>1939</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2112</v>
      </c>
      <c r="B99" s="846" t="s">
        <v>2000</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2113</v>
      </c>
      <c r="B100" s="846" t="s">
        <v>2001</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2114</v>
      </c>
      <c r="B101" s="846" t="s">
        <v>2002</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2115</v>
      </c>
      <c r="B102" s="846" t="s">
        <v>2003</v>
      </c>
      <c r="C102" s="620" t="s">
        <v>1939</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2146</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2157</v>
      </c>
      <c r="B104" s="1098" t="s">
        <v>1950</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2170</v>
      </c>
      <c r="B105" s="846" t="s">
        <v>1951</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2171</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2147</v>
      </c>
      <c r="B107" s="1098" t="s">
        <v>1995</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2172</v>
      </c>
      <c r="B108" s="610" t="s">
        <v>2138</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2173</v>
      </c>
      <c r="B109" s="610" t="s">
        <v>2139</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2174</v>
      </c>
      <c r="B110" s="610" t="s">
        <v>2140</v>
      </c>
      <c r="C110" s="620" t="s">
        <v>1939</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2148</v>
      </c>
      <c r="B111" s="613" t="s">
        <v>1239</v>
      </c>
      <c r="C111" s="620"/>
      <c r="D111" s="842"/>
      <c r="E111" s="842"/>
      <c r="F111" s="843"/>
      <c r="G111" s="1185"/>
      <c r="H111" s="1185"/>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2199</v>
      </c>
      <c r="B112" s="610" t="s">
        <v>2210</v>
      </c>
      <c r="C112" s="620" t="s">
        <v>2101</v>
      </c>
      <c r="D112" s="842"/>
      <c r="E112" s="842"/>
      <c r="F112" s="843"/>
      <c r="G112" s="1185"/>
      <c r="H112" s="1185"/>
      <c r="I112" s="1130"/>
      <c r="J112" s="844"/>
      <c r="K112" s="844"/>
      <c r="L112" s="844"/>
      <c r="M112" s="843"/>
      <c r="N112" s="1138">
        <f>8.7*2.9195</f>
        <v>25.399650000000001</v>
      </c>
      <c r="O112" s="1138">
        <f>4*2.85</f>
        <v>11.4</v>
      </c>
      <c r="P112" s="1130">
        <f>5*0.28+3.2*2.15+5.5*0.2+1.8*5+5*0.3+3.25*2.2+4.25*0.28+2.2*0.28+5.6*0.2</f>
        <v>29.956000000000003</v>
      </c>
      <c r="Q112" s="1199">
        <f>2.67*2.9</f>
        <v>7.7429999999999994</v>
      </c>
      <c r="R112" s="1200">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2149</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2218</v>
      </c>
      <c r="B114" s="610" t="s">
        <v>1306</v>
      </c>
      <c r="C114" s="620" t="s">
        <v>2101</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2116</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2124</v>
      </c>
      <c r="B116" s="846" t="s">
        <v>1995</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2125</v>
      </c>
      <c r="B117" s="846" t="s">
        <v>1996</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2126</v>
      </c>
      <c r="B118" s="846" t="s">
        <v>1997</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2127</v>
      </c>
      <c r="B119" s="846" t="s">
        <v>1998</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2128</v>
      </c>
      <c r="B120" s="846" t="s">
        <v>1999</v>
      </c>
      <c r="C120" s="620" t="s">
        <v>1939</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2129</v>
      </c>
      <c r="B121" s="846" t="s">
        <v>2000</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2130</v>
      </c>
      <c r="B122" s="846" t="s">
        <v>2001</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2131</v>
      </c>
      <c r="B123" s="846" t="s">
        <v>2002</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2132</v>
      </c>
      <c r="B124" s="846" t="s">
        <v>2003</v>
      </c>
      <c r="C124" s="620" t="s">
        <v>1939</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2189</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2190</v>
      </c>
      <c r="B126" s="613" t="s">
        <v>2194</v>
      </c>
      <c r="C126" s="1083" t="s">
        <v>36</v>
      </c>
      <c r="D126" s="842"/>
      <c r="E126" s="842"/>
      <c r="F126" s="843"/>
      <c r="G126" s="1185">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7" t="s">
        <v>2202</v>
      </c>
      <c r="B127" s="1187"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8" t="s">
        <v>2203</v>
      </c>
      <c r="B128" s="1188" t="s">
        <v>1352</v>
      </c>
      <c r="C128" s="1083" t="s">
        <v>40</v>
      </c>
      <c r="D128" s="842"/>
      <c r="E128" s="842"/>
      <c r="F128" s="843"/>
      <c r="G128" s="1185">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8" t="s">
        <v>2204</v>
      </c>
      <c r="B129" s="1188" t="s">
        <v>1353</v>
      </c>
      <c r="C129" s="1083" t="s">
        <v>40</v>
      </c>
      <c r="D129" s="842"/>
      <c r="E129" s="842"/>
      <c r="F129" s="843"/>
      <c r="G129" s="1185">
        <f>1.5*1.8*2</f>
        <v>5.4</v>
      </c>
      <c r="H129" s="1185">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8" t="s">
        <v>2205</v>
      </c>
      <c r="B130" s="1188"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8" t="s">
        <v>2206</v>
      </c>
      <c r="B131" s="1188" t="s">
        <v>2200</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8" t="s">
        <v>2207</v>
      </c>
      <c r="B132" s="1188" t="s">
        <v>2201</v>
      </c>
      <c r="C132" s="1083" t="s">
        <v>40</v>
      </c>
      <c r="D132" s="842"/>
      <c r="E132" s="842"/>
      <c r="F132" s="843"/>
      <c r="G132" s="1185">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7" t="s">
        <v>2208</v>
      </c>
      <c r="B133" s="1187" t="s">
        <v>1370</v>
      </c>
      <c r="C133" s="1083"/>
      <c r="D133" s="755"/>
      <c r="E133" s="755"/>
      <c r="F133" s="901"/>
      <c r="G133" s="755"/>
      <c r="H133" s="755"/>
      <c r="I133" s="755"/>
      <c r="J133" s="755"/>
      <c r="K133" s="755"/>
      <c r="L133" s="755"/>
      <c r="M133" s="901"/>
      <c r="N133" s="755"/>
      <c r="O133" s="755"/>
      <c r="P133" s="1201">
        <f>4*0.5</f>
        <v>2</v>
      </c>
      <c r="Q133" s="755"/>
      <c r="R133" s="755"/>
      <c r="S133" s="755"/>
      <c r="T133" s="901"/>
      <c r="U133" s="755"/>
      <c r="V133" s="755"/>
      <c r="W133" s="755"/>
      <c r="X133" s="755"/>
      <c r="Y133" s="755"/>
      <c r="Z133" s="755"/>
      <c r="AA133" s="901"/>
      <c r="AB133" s="1169"/>
      <c r="AC133" s="755"/>
      <c r="AD133" s="791"/>
      <c r="AE133" s="791"/>
      <c r="AF133" s="791"/>
      <c r="AG133" s="1069"/>
      <c r="AH133" s="599"/>
      <c r="AI133" s="1103">
        <f t="shared" si="6"/>
        <v>2</v>
      </c>
      <c r="AJ133" s="601"/>
      <c r="AL133" s="563">
        <f>AK133/10</f>
        <v>0</v>
      </c>
    </row>
    <row r="134" spans="1:39">
      <c r="A134" s="1188" t="s">
        <v>2209</v>
      </c>
      <c r="B134" s="1188"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9"/>
      <c r="AC134" s="755"/>
      <c r="AD134" s="791"/>
      <c r="AE134" s="791"/>
      <c r="AF134" s="791"/>
      <c r="AG134" s="1202"/>
      <c r="AH134" s="1203"/>
      <c r="AI134" s="582">
        <f t="shared" si="6"/>
        <v>0</v>
      </c>
      <c r="AJ134" s="1204"/>
    </row>
    <row r="135" spans="1:39">
      <c r="A135" s="1188" t="s">
        <v>2219</v>
      </c>
      <c r="B135" s="846" t="s">
        <v>2220</v>
      </c>
      <c r="C135" s="1083" t="s">
        <v>37</v>
      </c>
      <c r="D135" s="755"/>
      <c r="E135" s="755"/>
      <c r="F135" s="901"/>
      <c r="G135" s="755"/>
      <c r="H135" s="755"/>
      <c r="I135" s="755"/>
      <c r="J135" s="755"/>
      <c r="K135" s="755"/>
      <c r="L135" s="755"/>
      <c r="M135" s="901"/>
      <c r="N135" s="755"/>
      <c r="O135" s="755"/>
      <c r="P135" s="755"/>
      <c r="Q135" s="755"/>
      <c r="R135" s="1201">
        <v>1</v>
      </c>
      <c r="S135" s="755"/>
      <c r="T135" s="901"/>
      <c r="U135" s="755"/>
      <c r="V135" s="755"/>
      <c r="W135" s="755"/>
      <c r="X135" s="755"/>
      <c r="Y135" s="755"/>
      <c r="Z135" s="755"/>
      <c r="AA135" s="901"/>
      <c r="AB135" s="1169"/>
      <c r="AC135" s="755"/>
      <c r="AD135" s="791"/>
      <c r="AE135" s="791"/>
      <c r="AF135" s="791"/>
      <c r="AG135" s="1202"/>
      <c r="AH135" s="1203"/>
      <c r="AI135" s="1103">
        <f t="shared" si="6"/>
        <v>1</v>
      </c>
      <c r="AJ135" s="1204"/>
    </row>
    <row r="136" spans="1:39">
      <c r="A136" s="1187"/>
      <c r="B136" s="846" t="s">
        <v>2221</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9"/>
      <c r="AC136" s="755"/>
      <c r="AD136" s="791"/>
      <c r="AE136" s="791"/>
      <c r="AF136" s="791"/>
      <c r="AG136" s="1202"/>
      <c r="AH136" s="1203"/>
      <c r="AI136" s="582">
        <f t="shared" si="6"/>
        <v>0</v>
      </c>
      <c r="AJ136" s="1204"/>
    </row>
    <row r="137" spans="1:39">
      <c r="A137" s="1188"/>
      <c r="B137" s="846" t="s">
        <v>2222</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9"/>
      <c r="AC137" s="755"/>
      <c r="AD137" s="791"/>
      <c r="AE137" s="791"/>
      <c r="AF137" s="791"/>
      <c r="AG137" s="1202"/>
      <c r="AH137" s="1203"/>
      <c r="AI137" s="582">
        <f t="shared" si="6"/>
        <v>0</v>
      </c>
      <c r="AJ137" s="1204"/>
    </row>
    <row r="138" spans="1:39">
      <c r="A138" s="1188"/>
      <c r="B138" s="846" t="s">
        <v>2223</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9"/>
      <c r="AC138" s="755"/>
      <c r="AD138" s="791"/>
      <c r="AE138" s="791"/>
      <c r="AF138" s="791"/>
      <c r="AG138" s="1202"/>
      <c r="AH138" s="1203"/>
      <c r="AI138" s="582">
        <f t="shared" si="6"/>
        <v>0</v>
      </c>
      <c r="AJ138" s="1204"/>
    </row>
    <row r="139" spans="1:39">
      <c r="A139" s="1188"/>
      <c r="B139" s="846" t="s">
        <v>2224</v>
      </c>
      <c r="C139" s="1083" t="s">
        <v>40</v>
      </c>
      <c r="D139" s="755"/>
      <c r="E139" s="755"/>
      <c r="F139" s="901"/>
      <c r="G139" s="755"/>
      <c r="H139" s="755"/>
      <c r="I139" s="755"/>
      <c r="J139" s="755"/>
      <c r="K139" s="755"/>
      <c r="L139" s="755"/>
      <c r="M139" s="901"/>
      <c r="N139" s="755"/>
      <c r="O139" s="755"/>
      <c r="P139" s="755"/>
      <c r="Q139" s="1201">
        <v>4</v>
      </c>
      <c r="R139" s="1201">
        <v>4</v>
      </c>
      <c r="S139" s="755"/>
      <c r="T139" s="901"/>
      <c r="U139" s="1201">
        <v>4</v>
      </c>
      <c r="V139" s="755"/>
      <c r="W139" s="755"/>
      <c r="X139" s="755"/>
      <c r="Y139" s="755"/>
      <c r="Z139" s="755"/>
      <c r="AA139" s="901"/>
      <c r="AB139" s="1169"/>
      <c r="AC139" s="755"/>
      <c r="AD139" s="791"/>
      <c r="AE139" s="791"/>
      <c r="AF139" s="791"/>
      <c r="AG139" s="1202"/>
      <c r="AH139" s="1203"/>
      <c r="AI139" s="1103">
        <f t="shared" si="6"/>
        <v>12</v>
      </c>
      <c r="AJ139" s="1204"/>
    </row>
    <row r="140" spans="1:39">
      <c r="A140" s="1188"/>
      <c r="B140" s="846" t="s">
        <v>2225</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9"/>
      <c r="AC140" s="1201">
        <v>1</v>
      </c>
      <c r="AD140" s="791"/>
      <c r="AE140" s="791"/>
      <c r="AF140" s="791"/>
      <c r="AG140" s="1202"/>
      <c r="AH140" s="1203"/>
      <c r="AI140" s="1103">
        <f t="shared" si="6"/>
        <v>1</v>
      </c>
      <c r="AJ140" s="1204"/>
    </row>
    <row r="141" spans="1:39">
      <c r="A141" s="1188"/>
      <c r="B141" s="846" t="s">
        <v>2226</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9"/>
      <c r="AC141" s="755"/>
      <c r="AD141" s="791"/>
      <c r="AE141" s="791"/>
      <c r="AF141" s="791"/>
      <c r="AI141" s="582">
        <f t="shared" si="6"/>
        <v>0</v>
      </c>
    </row>
    <row r="142" spans="1:39">
      <c r="A142" s="1188"/>
      <c r="B142" s="846" t="s">
        <v>2226</v>
      </c>
      <c r="C142" s="1083" t="s">
        <v>276</v>
      </c>
      <c r="D142" s="572"/>
      <c r="E142" s="572"/>
      <c r="F142" s="902"/>
      <c r="G142" s="572"/>
      <c r="H142" s="572"/>
      <c r="I142" s="572"/>
      <c r="J142" s="572"/>
      <c r="K142" s="572"/>
      <c r="L142" s="572"/>
      <c r="M142" s="902"/>
      <c r="N142" s="572"/>
      <c r="O142" s="572"/>
      <c r="P142" s="572"/>
      <c r="Q142" s="1206">
        <v>143.6</v>
      </c>
      <c r="R142" s="572"/>
      <c r="S142" s="572"/>
      <c r="T142" s="902"/>
      <c r="U142" s="1206">
        <v>217.9</v>
      </c>
      <c r="V142" s="572"/>
      <c r="W142" s="572"/>
      <c r="X142" s="1206">
        <v>278.60000000000002</v>
      </c>
      <c r="Y142" s="572"/>
      <c r="Z142" s="572"/>
      <c r="AA142" s="902"/>
      <c r="AB142" s="1169"/>
      <c r="AC142" s="1201">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2227</v>
      </c>
      <c r="R146" s="563">
        <v>143.6</v>
      </c>
    </row>
    <row r="147" spans="1:18">
      <c r="B147" s="630" t="s">
        <v>1801</v>
      </c>
      <c r="C147" s="602"/>
      <c r="Q147" s="563" t="s">
        <v>2228</v>
      </c>
      <c r="R147" s="563">
        <v>217.93</v>
      </c>
    </row>
    <row r="148" spans="1:18">
      <c r="B148" s="630" t="s">
        <v>289</v>
      </c>
      <c r="C148" s="602"/>
      <c r="Q148" s="563" t="s">
        <v>2229</v>
      </c>
      <c r="R148" s="563">
        <v>278.55</v>
      </c>
    </row>
    <row r="149" spans="1:18">
      <c r="B149" s="630"/>
      <c r="C149" s="602"/>
      <c r="Q149" s="563" t="s">
        <v>2230</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8"/>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3" zoomScale="80" zoomScaleNormal="90" zoomScaleSheetLayoutView="80" workbookViewId="0">
      <selection activeCell="D34" sqref="D34"/>
    </sheetView>
  </sheetViews>
  <sheetFormatPr baseColWidth="10" defaultRowHeight="13.2"/>
  <cols>
    <col min="1" max="1" width="10.88671875" style="1215"/>
    <col min="2" max="2" width="12" style="1215" customWidth="1"/>
    <col min="3" max="3" width="64.44140625" style="1225" customWidth="1"/>
    <col min="4" max="4" width="10.5546875" style="1218" customWidth="1"/>
    <col min="5" max="5" width="12.88671875" style="1226" customWidth="1"/>
    <col min="6" max="7" width="13.33203125" style="1226" customWidth="1"/>
    <col min="8" max="8" width="15" style="1226" hidden="1" customWidth="1"/>
    <col min="9" max="9" width="15" style="1226" customWidth="1"/>
    <col min="10" max="10" width="12.6640625" style="1218" customWidth="1"/>
    <col min="11" max="11" width="16.33203125" style="1218" customWidth="1"/>
    <col min="12" max="12" width="12.33203125" style="1349" customWidth="1"/>
    <col min="13" max="13" width="17.88671875" style="1218" customWidth="1"/>
    <col min="14" max="14" width="12" style="1218" customWidth="1"/>
    <col min="15" max="15" width="16.44140625" style="1218" customWidth="1"/>
    <col min="16" max="16" width="13.44140625" style="1218" customWidth="1"/>
    <col min="17" max="17" width="9.109375" style="1215" customWidth="1"/>
    <col min="18" max="18" width="16.5546875" style="1215" customWidth="1"/>
    <col min="19" max="19" width="12.5546875" style="1215" customWidth="1"/>
    <col min="20" max="20" width="13" style="1215" bestFit="1" customWidth="1"/>
    <col min="21" max="22" width="13" style="1215" customWidth="1"/>
    <col min="23" max="24" width="10.88671875" style="1215"/>
    <col min="25" max="25" width="14.109375" style="1215" customWidth="1"/>
    <col min="26" max="261" width="10.88671875" style="1215"/>
    <col min="262" max="262" width="8.88671875" style="1215" customWidth="1"/>
    <col min="263" max="263" width="50" style="1215" customWidth="1"/>
    <col min="264" max="264" width="6.33203125" style="1215" bestFit="1" customWidth="1"/>
    <col min="265" max="265" width="8.88671875" style="1215" customWidth="1"/>
    <col min="266" max="266" width="8.5546875" style="1215" customWidth="1"/>
    <col min="267" max="267" width="11.332031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332031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33203125" style="1215" bestFit="1" customWidth="1"/>
    <col min="521" max="521" width="8.88671875" style="1215" customWidth="1"/>
    <col min="522" max="522" width="8.5546875" style="1215" customWidth="1"/>
    <col min="523" max="523" width="11.332031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332031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33203125" style="1215" bestFit="1" customWidth="1"/>
    <col min="777" max="777" width="8.88671875" style="1215" customWidth="1"/>
    <col min="778" max="778" width="8.5546875" style="1215" customWidth="1"/>
    <col min="779" max="779" width="11.332031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332031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33203125" style="1215" bestFit="1" customWidth="1"/>
    <col min="1033" max="1033" width="8.88671875" style="1215" customWidth="1"/>
    <col min="1034" max="1034" width="8.5546875" style="1215" customWidth="1"/>
    <col min="1035" max="1035" width="11.332031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332031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33203125" style="1215" bestFit="1" customWidth="1"/>
    <col min="1289" max="1289" width="8.88671875" style="1215" customWidth="1"/>
    <col min="1290" max="1290" width="8.5546875" style="1215" customWidth="1"/>
    <col min="1291" max="1291" width="11.332031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332031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33203125" style="1215" bestFit="1" customWidth="1"/>
    <col min="1545" max="1545" width="8.88671875" style="1215" customWidth="1"/>
    <col min="1546" max="1546" width="8.5546875" style="1215" customWidth="1"/>
    <col min="1547" max="1547" width="11.332031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332031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33203125" style="1215" bestFit="1" customWidth="1"/>
    <col min="1801" max="1801" width="8.88671875" style="1215" customWidth="1"/>
    <col min="1802" max="1802" width="8.5546875" style="1215" customWidth="1"/>
    <col min="1803" max="1803" width="11.332031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332031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33203125" style="1215" bestFit="1" customWidth="1"/>
    <col min="2057" max="2057" width="8.88671875" style="1215" customWidth="1"/>
    <col min="2058" max="2058" width="8.5546875" style="1215" customWidth="1"/>
    <col min="2059" max="2059" width="11.332031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332031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33203125" style="1215" bestFit="1" customWidth="1"/>
    <col min="2313" max="2313" width="8.88671875" style="1215" customWidth="1"/>
    <col min="2314" max="2314" width="8.5546875" style="1215" customWidth="1"/>
    <col min="2315" max="2315" width="11.332031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332031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33203125" style="1215" bestFit="1" customWidth="1"/>
    <col min="2569" max="2569" width="8.88671875" style="1215" customWidth="1"/>
    <col min="2570" max="2570" width="8.5546875" style="1215" customWidth="1"/>
    <col min="2571" max="2571" width="11.332031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332031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33203125" style="1215" bestFit="1" customWidth="1"/>
    <col min="2825" max="2825" width="8.88671875" style="1215" customWidth="1"/>
    <col min="2826" max="2826" width="8.5546875" style="1215" customWidth="1"/>
    <col min="2827" max="2827" width="11.332031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332031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33203125" style="1215" bestFit="1" customWidth="1"/>
    <col min="3081" max="3081" width="8.88671875" style="1215" customWidth="1"/>
    <col min="3082" max="3082" width="8.5546875" style="1215" customWidth="1"/>
    <col min="3083" max="3083" width="11.332031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332031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33203125" style="1215" bestFit="1" customWidth="1"/>
    <col min="3337" max="3337" width="8.88671875" style="1215" customWidth="1"/>
    <col min="3338" max="3338" width="8.5546875" style="1215" customWidth="1"/>
    <col min="3339" max="3339" width="11.332031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332031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33203125" style="1215" bestFit="1" customWidth="1"/>
    <col min="3593" max="3593" width="8.88671875" style="1215" customWidth="1"/>
    <col min="3594" max="3594" width="8.5546875" style="1215" customWidth="1"/>
    <col min="3595" max="3595" width="11.332031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332031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33203125" style="1215" bestFit="1" customWidth="1"/>
    <col min="3849" max="3849" width="8.88671875" style="1215" customWidth="1"/>
    <col min="3850" max="3850" width="8.5546875" style="1215" customWidth="1"/>
    <col min="3851" max="3851" width="11.332031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332031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33203125" style="1215" bestFit="1" customWidth="1"/>
    <col min="4105" max="4105" width="8.88671875" style="1215" customWidth="1"/>
    <col min="4106" max="4106" width="8.5546875" style="1215" customWidth="1"/>
    <col min="4107" max="4107" width="11.332031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332031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33203125" style="1215" bestFit="1" customWidth="1"/>
    <col min="4361" max="4361" width="8.88671875" style="1215" customWidth="1"/>
    <col min="4362" max="4362" width="8.5546875" style="1215" customWidth="1"/>
    <col min="4363" max="4363" width="11.332031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332031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33203125" style="1215" bestFit="1" customWidth="1"/>
    <col min="4617" max="4617" width="8.88671875" style="1215" customWidth="1"/>
    <col min="4618" max="4618" width="8.5546875" style="1215" customWidth="1"/>
    <col min="4619" max="4619" width="11.332031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332031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33203125" style="1215" bestFit="1" customWidth="1"/>
    <col min="4873" max="4873" width="8.88671875" style="1215" customWidth="1"/>
    <col min="4874" max="4874" width="8.5546875" style="1215" customWidth="1"/>
    <col min="4875" max="4875" width="11.332031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332031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33203125" style="1215" bestFit="1" customWidth="1"/>
    <col min="5129" max="5129" width="8.88671875" style="1215" customWidth="1"/>
    <col min="5130" max="5130" width="8.5546875" style="1215" customWidth="1"/>
    <col min="5131" max="5131" width="11.332031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332031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33203125" style="1215" bestFit="1" customWidth="1"/>
    <col min="5385" max="5385" width="8.88671875" style="1215" customWidth="1"/>
    <col min="5386" max="5386" width="8.5546875" style="1215" customWidth="1"/>
    <col min="5387" max="5387" width="11.332031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332031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33203125" style="1215" bestFit="1" customWidth="1"/>
    <col min="5641" max="5641" width="8.88671875" style="1215" customWidth="1"/>
    <col min="5642" max="5642" width="8.5546875" style="1215" customWidth="1"/>
    <col min="5643" max="5643" width="11.332031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332031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33203125" style="1215" bestFit="1" customWidth="1"/>
    <col min="5897" max="5897" width="8.88671875" style="1215" customWidth="1"/>
    <col min="5898" max="5898" width="8.5546875" style="1215" customWidth="1"/>
    <col min="5899" max="5899" width="11.332031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332031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33203125" style="1215" bestFit="1" customWidth="1"/>
    <col min="6153" max="6153" width="8.88671875" style="1215" customWidth="1"/>
    <col min="6154" max="6154" width="8.5546875" style="1215" customWidth="1"/>
    <col min="6155" max="6155" width="11.332031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332031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33203125" style="1215" bestFit="1" customWidth="1"/>
    <col min="6409" max="6409" width="8.88671875" style="1215" customWidth="1"/>
    <col min="6410" max="6410" width="8.5546875" style="1215" customWidth="1"/>
    <col min="6411" max="6411" width="11.332031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332031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33203125" style="1215" bestFit="1" customWidth="1"/>
    <col min="6665" max="6665" width="8.88671875" style="1215" customWidth="1"/>
    <col min="6666" max="6666" width="8.5546875" style="1215" customWidth="1"/>
    <col min="6667" max="6667" width="11.332031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332031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33203125" style="1215" bestFit="1" customWidth="1"/>
    <col min="6921" max="6921" width="8.88671875" style="1215" customWidth="1"/>
    <col min="6922" max="6922" width="8.5546875" style="1215" customWidth="1"/>
    <col min="6923" max="6923" width="11.332031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332031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33203125" style="1215" bestFit="1" customWidth="1"/>
    <col min="7177" max="7177" width="8.88671875" style="1215" customWidth="1"/>
    <col min="7178" max="7178" width="8.5546875" style="1215" customWidth="1"/>
    <col min="7179" max="7179" width="11.332031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332031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33203125" style="1215" bestFit="1" customWidth="1"/>
    <col min="7433" max="7433" width="8.88671875" style="1215" customWidth="1"/>
    <col min="7434" max="7434" width="8.5546875" style="1215" customWidth="1"/>
    <col min="7435" max="7435" width="11.332031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332031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33203125" style="1215" bestFit="1" customWidth="1"/>
    <col min="7689" max="7689" width="8.88671875" style="1215" customWidth="1"/>
    <col min="7690" max="7690" width="8.5546875" style="1215" customWidth="1"/>
    <col min="7691" max="7691" width="11.332031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332031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33203125" style="1215" bestFit="1" customWidth="1"/>
    <col min="7945" max="7945" width="8.88671875" style="1215" customWidth="1"/>
    <col min="7946" max="7946" width="8.5546875" style="1215" customWidth="1"/>
    <col min="7947" max="7947" width="11.332031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332031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33203125" style="1215" bestFit="1" customWidth="1"/>
    <col min="8201" max="8201" width="8.88671875" style="1215" customWidth="1"/>
    <col min="8202" max="8202" width="8.5546875" style="1215" customWidth="1"/>
    <col min="8203" max="8203" width="11.332031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332031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33203125" style="1215" bestFit="1" customWidth="1"/>
    <col min="8457" max="8457" width="8.88671875" style="1215" customWidth="1"/>
    <col min="8458" max="8458" width="8.5546875" style="1215" customWidth="1"/>
    <col min="8459" max="8459" width="11.332031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332031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33203125" style="1215" bestFit="1" customWidth="1"/>
    <col min="8713" max="8713" width="8.88671875" style="1215" customWidth="1"/>
    <col min="8714" max="8714" width="8.5546875" style="1215" customWidth="1"/>
    <col min="8715" max="8715" width="11.332031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332031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33203125" style="1215" bestFit="1" customWidth="1"/>
    <col min="8969" max="8969" width="8.88671875" style="1215" customWidth="1"/>
    <col min="8970" max="8970" width="8.5546875" style="1215" customWidth="1"/>
    <col min="8971" max="8971" width="11.332031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332031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33203125" style="1215" bestFit="1" customWidth="1"/>
    <col min="9225" max="9225" width="8.88671875" style="1215" customWidth="1"/>
    <col min="9226" max="9226" width="8.5546875" style="1215" customWidth="1"/>
    <col min="9227" max="9227" width="11.332031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332031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33203125" style="1215" bestFit="1" customWidth="1"/>
    <col min="9481" max="9481" width="8.88671875" style="1215" customWidth="1"/>
    <col min="9482" max="9482" width="8.5546875" style="1215" customWidth="1"/>
    <col min="9483" max="9483" width="11.332031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332031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33203125" style="1215" bestFit="1" customWidth="1"/>
    <col min="9737" max="9737" width="8.88671875" style="1215" customWidth="1"/>
    <col min="9738" max="9738" width="8.5546875" style="1215" customWidth="1"/>
    <col min="9739" max="9739" width="11.332031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332031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33203125" style="1215" bestFit="1" customWidth="1"/>
    <col min="9993" max="9993" width="8.88671875" style="1215" customWidth="1"/>
    <col min="9994" max="9994" width="8.5546875" style="1215" customWidth="1"/>
    <col min="9995" max="9995" width="11.332031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332031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33203125" style="1215" bestFit="1" customWidth="1"/>
    <col min="10249" max="10249" width="8.88671875" style="1215" customWidth="1"/>
    <col min="10250" max="10250" width="8.5546875" style="1215" customWidth="1"/>
    <col min="10251" max="10251" width="11.332031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332031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33203125" style="1215" bestFit="1" customWidth="1"/>
    <col min="10505" max="10505" width="8.88671875" style="1215" customWidth="1"/>
    <col min="10506" max="10506" width="8.5546875" style="1215" customWidth="1"/>
    <col min="10507" max="10507" width="11.332031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332031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33203125" style="1215" bestFit="1" customWidth="1"/>
    <col min="10761" max="10761" width="8.88671875" style="1215" customWidth="1"/>
    <col min="10762" max="10762" width="8.5546875" style="1215" customWidth="1"/>
    <col min="10763" max="10763" width="11.332031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332031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33203125" style="1215" bestFit="1" customWidth="1"/>
    <col min="11017" max="11017" width="8.88671875" style="1215" customWidth="1"/>
    <col min="11018" max="11018" width="8.5546875" style="1215" customWidth="1"/>
    <col min="11019" max="11019" width="11.332031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332031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33203125" style="1215" bestFit="1" customWidth="1"/>
    <col min="11273" max="11273" width="8.88671875" style="1215" customWidth="1"/>
    <col min="11274" max="11274" width="8.5546875" style="1215" customWidth="1"/>
    <col min="11275" max="11275" width="11.332031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332031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33203125" style="1215" bestFit="1" customWidth="1"/>
    <col min="11529" max="11529" width="8.88671875" style="1215" customWidth="1"/>
    <col min="11530" max="11530" width="8.5546875" style="1215" customWidth="1"/>
    <col min="11531" max="11531" width="11.332031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332031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33203125" style="1215" bestFit="1" customWidth="1"/>
    <col min="11785" max="11785" width="8.88671875" style="1215" customWidth="1"/>
    <col min="11786" max="11786" width="8.5546875" style="1215" customWidth="1"/>
    <col min="11787" max="11787" width="11.332031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332031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33203125" style="1215" bestFit="1" customWidth="1"/>
    <col min="12041" max="12041" width="8.88671875" style="1215" customWidth="1"/>
    <col min="12042" max="12042" width="8.5546875" style="1215" customWidth="1"/>
    <col min="12043" max="12043" width="11.332031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332031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33203125" style="1215" bestFit="1" customWidth="1"/>
    <col min="12297" max="12297" width="8.88671875" style="1215" customWidth="1"/>
    <col min="12298" max="12298" width="8.5546875" style="1215" customWidth="1"/>
    <col min="12299" max="12299" width="11.332031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332031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33203125" style="1215" bestFit="1" customWidth="1"/>
    <col min="12553" max="12553" width="8.88671875" style="1215" customWidth="1"/>
    <col min="12554" max="12554" width="8.5546875" style="1215" customWidth="1"/>
    <col min="12555" max="12555" width="11.332031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332031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33203125" style="1215" bestFit="1" customWidth="1"/>
    <col min="12809" max="12809" width="8.88671875" style="1215" customWidth="1"/>
    <col min="12810" max="12810" width="8.5546875" style="1215" customWidth="1"/>
    <col min="12811" max="12811" width="11.332031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332031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33203125" style="1215" bestFit="1" customWidth="1"/>
    <col min="13065" max="13065" width="8.88671875" style="1215" customWidth="1"/>
    <col min="13066" max="13066" width="8.5546875" style="1215" customWidth="1"/>
    <col min="13067" max="13067" width="11.332031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332031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33203125" style="1215" bestFit="1" customWidth="1"/>
    <col min="13321" max="13321" width="8.88671875" style="1215" customWidth="1"/>
    <col min="13322" max="13322" width="8.5546875" style="1215" customWidth="1"/>
    <col min="13323" max="13323" width="11.332031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332031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33203125" style="1215" bestFit="1" customWidth="1"/>
    <col min="13577" max="13577" width="8.88671875" style="1215" customWidth="1"/>
    <col min="13578" max="13578" width="8.5546875" style="1215" customWidth="1"/>
    <col min="13579" max="13579" width="11.332031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332031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33203125" style="1215" bestFit="1" customWidth="1"/>
    <col min="13833" max="13833" width="8.88671875" style="1215" customWidth="1"/>
    <col min="13834" max="13834" width="8.5546875" style="1215" customWidth="1"/>
    <col min="13835" max="13835" width="11.332031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332031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33203125" style="1215" bestFit="1" customWidth="1"/>
    <col min="14089" max="14089" width="8.88671875" style="1215" customWidth="1"/>
    <col min="14090" max="14090" width="8.5546875" style="1215" customWidth="1"/>
    <col min="14091" max="14091" width="11.332031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332031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33203125" style="1215" bestFit="1" customWidth="1"/>
    <col min="14345" max="14345" width="8.88671875" style="1215" customWidth="1"/>
    <col min="14346" max="14346" width="8.5546875" style="1215" customWidth="1"/>
    <col min="14347" max="14347" width="11.332031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332031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33203125" style="1215" bestFit="1" customWidth="1"/>
    <col min="14601" max="14601" width="8.88671875" style="1215" customWidth="1"/>
    <col min="14602" max="14602" width="8.5546875" style="1215" customWidth="1"/>
    <col min="14603" max="14603" width="11.332031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332031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33203125" style="1215" bestFit="1" customWidth="1"/>
    <col min="14857" max="14857" width="8.88671875" style="1215" customWidth="1"/>
    <col min="14858" max="14858" width="8.5546875" style="1215" customWidth="1"/>
    <col min="14859" max="14859" width="11.332031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332031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33203125" style="1215" bestFit="1" customWidth="1"/>
    <col min="15113" max="15113" width="8.88671875" style="1215" customWidth="1"/>
    <col min="15114" max="15114" width="8.5546875" style="1215" customWidth="1"/>
    <col min="15115" max="15115" width="11.332031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332031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33203125" style="1215" bestFit="1" customWidth="1"/>
    <col min="15369" max="15369" width="8.88671875" style="1215" customWidth="1"/>
    <col min="15370" max="15370" width="8.5546875" style="1215" customWidth="1"/>
    <col min="15371" max="15371" width="11.332031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332031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33203125" style="1215" bestFit="1" customWidth="1"/>
    <col min="15625" max="15625" width="8.88671875" style="1215" customWidth="1"/>
    <col min="15626" max="15626" width="8.5546875" style="1215" customWidth="1"/>
    <col min="15627" max="15627" width="11.332031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332031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33203125" style="1215" bestFit="1" customWidth="1"/>
    <col min="15881" max="15881" width="8.88671875" style="1215" customWidth="1"/>
    <col min="15882" max="15882" width="8.5546875" style="1215" customWidth="1"/>
    <col min="15883" max="15883" width="11.332031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332031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33203125" style="1215" bestFit="1" customWidth="1"/>
    <col min="16137" max="16137" width="8.88671875" style="1215" customWidth="1"/>
    <col min="16138" max="16138" width="8.5546875" style="1215" customWidth="1"/>
    <col min="16139" max="16139" width="11.332031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33203125" style="1215" bestFit="1" customWidth="1"/>
    <col min="16148" max="16148" width="11.5546875" style="1215" bestFit="1" customWidth="1"/>
    <col min="16149" max="16149" width="8.109375" style="1215" customWidth="1"/>
    <col min="16150" max="16150" width="13" style="1215" bestFit="1" customWidth="1"/>
    <col min="16151" max="16383" width="10.88671875" style="1215"/>
    <col min="16384" max="16384" width="11.5546875" style="1215" customWidth="1"/>
  </cols>
  <sheetData>
    <row r="1" spans="1:25" ht="13.95" customHeight="1">
      <c r="B1" s="2997" t="s">
        <v>12</v>
      </c>
      <c r="C1" s="2997"/>
      <c r="D1" s="2997"/>
      <c r="E1" s="2997"/>
      <c r="F1" s="2997"/>
      <c r="G1" s="2997"/>
      <c r="H1" s="2997"/>
      <c r="I1" s="2997"/>
      <c r="J1" s="2997"/>
      <c r="K1" s="2997"/>
      <c r="L1" s="2997"/>
      <c r="M1" s="2997"/>
      <c r="N1" s="2997"/>
      <c r="O1" s="2997"/>
      <c r="P1" s="2997"/>
      <c r="Q1" s="2997"/>
      <c r="R1" s="2997"/>
      <c r="S1" s="2997"/>
    </row>
    <row r="2" spans="1:25">
      <c r="B2" s="2997" t="s">
        <v>4239</v>
      </c>
      <c r="C2" s="2997"/>
      <c r="D2" s="2997"/>
      <c r="E2" s="2997"/>
      <c r="F2" s="2997"/>
      <c r="G2" s="2997"/>
      <c r="H2" s="2997"/>
      <c r="I2" s="2997"/>
      <c r="J2" s="2997"/>
      <c r="K2" s="2997"/>
      <c r="L2" s="2997"/>
      <c r="M2" s="2997"/>
      <c r="N2" s="2997"/>
      <c r="O2" s="2997"/>
      <c r="P2" s="2997"/>
      <c r="Q2" s="2997"/>
      <c r="R2" s="2997"/>
      <c r="S2" s="2997"/>
    </row>
    <row r="3" spans="1:25">
      <c r="B3" s="2997" t="s">
        <v>4319</v>
      </c>
      <c r="C3" s="2997"/>
      <c r="D3" s="2997"/>
      <c r="E3" s="2997"/>
      <c r="F3" s="2997"/>
      <c r="G3" s="2997"/>
      <c r="H3" s="2997"/>
      <c r="I3" s="2997"/>
      <c r="J3" s="2997"/>
      <c r="K3" s="2997"/>
      <c r="L3" s="2997"/>
      <c r="M3" s="2997"/>
      <c r="N3" s="2997"/>
      <c r="O3" s="2997"/>
      <c r="P3" s="2997"/>
      <c r="Q3" s="2997"/>
      <c r="R3" s="2997"/>
      <c r="S3" s="2997"/>
    </row>
    <row r="4" spans="1:25">
      <c r="B4" s="1218"/>
      <c r="C4" s="1220" t="s">
        <v>6</v>
      </c>
      <c r="D4" s="1240" t="s">
        <v>4</v>
      </c>
      <c r="E4" s="2998" t="s">
        <v>2833</v>
      </c>
      <c r="F4" s="2998"/>
      <c r="G4" s="2998"/>
      <c r="H4" s="2998"/>
      <c r="I4" s="2998"/>
      <c r="J4" s="2998"/>
      <c r="K4" s="2998"/>
      <c r="L4" s="2998"/>
      <c r="M4" s="2998"/>
      <c r="N4" s="2998"/>
      <c r="O4" s="2998"/>
      <c r="P4" s="1238" t="s">
        <v>13</v>
      </c>
      <c r="Q4" s="1217"/>
      <c r="R4" s="2999">
        <v>44355</v>
      </c>
      <c r="S4" s="2999"/>
    </row>
    <row r="5" spans="1:25">
      <c r="B5" s="1610"/>
      <c r="C5" s="1220" t="s">
        <v>5</v>
      </c>
      <c r="D5" s="1221" t="s">
        <v>4</v>
      </c>
      <c r="E5" s="1222" t="s">
        <v>533</v>
      </c>
      <c r="F5" s="1610"/>
      <c r="G5" s="1610"/>
      <c r="H5" s="1610"/>
      <c r="I5" s="1610"/>
      <c r="J5" s="1610"/>
      <c r="L5" s="1350"/>
      <c r="P5" s="1610" t="s">
        <v>14</v>
      </c>
      <c r="R5" s="1299"/>
      <c r="S5" s="1239" t="s">
        <v>536</v>
      </c>
    </row>
    <row r="6" spans="1:25">
      <c r="C6" s="1220" t="s">
        <v>15</v>
      </c>
      <c r="D6" s="1221" t="s">
        <v>4</v>
      </c>
      <c r="E6" s="1222" t="s">
        <v>4324</v>
      </c>
      <c r="F6" s="1215"/>
      <c r="G6" s="1215"/>
      <c r="H6" s="1215"/>
      <c r="I6" s="1215"/>
      <c r="P6" s="1610" t="s">
        <v>16</v>
      </c>
      <c r="S6" s="1239" t="s">
        <v>536</v>
      </c>
    </row>
    <row r="7" spans="1:25">
      <c r="C7" s="1220" t="s">
        <v>17</v>
      </c>
      <c r="D7" s="1221" t="s">
        <v>4</v>
      </c>
      <c r="E7" s="1222" t="s">
        <v>11</v>
      </c>
      <c r="F7" s="1215"/>
      <c r="G7" s="1215"/>
      <c r="H7" s="1215"/>
      <c r="I7" s="1215"/>
      <c r="M7" s="1237"/>
      <c r="N7" s="1237"/>
      <c r="P7" s="1610" t="s">
        <v>18</v>
      </c>
      <c r="R7" s="1223"/>
      <c r="S7" s="1239" t="s">
        <v>10</v>
      </c>
    </row>
    <row r="8" spans="1:25">
      <c r="C8" s="1220" t="s">
        <v>19</v>
      </c>
      <c r="D8" s="1221" t="s">
        <v>4</v>
      </c>
      <c r="E8" s="1224">
        <v>2020</v>
      </c>
      <c r="F8" s="1215"/>
      <c r="G8" s="1215"/>
      <c r="H8" s="1215"/>
      <c r="I8" s="1215"/>
      <c r="N8" s="1237"/>
      <c r="O8" s="1299"/>
    </row>
    <row r="9" spans="1:25" ht="13.8" thickBot="1"/>
    <row r="10" spans="1:25" ht="13.8" thickBot="1">
      <c r="B10" s="2869" t="s">
        <v>20</v>
      </c>
      <c r="C10" s="2869" t="s">
        <v>21</v>
      </c>
      <c r="D10" s="2978" t="s">
        <v>22</v>
      </c>
      <c r="E10" s="2982" t="s">
        <v>23</v>
      </c>
      <c r="F10" s="2983"/>
      <c r="G10" s="2983"/>
      <c r="H10" s="2984"/>
      <c r="I10" s="1608"/>
      <c r="J10" s="2988" t="s">
        <v>24</v>
      </c>
      <c r="K10" s="2990"/>
      <c r="L10" s="2990"/>
      <c r="M10" s="2990"/>
      <c r="N10" s="2990"/>
      <c r="O10" s="2990"/>
      <c r="P10" s="2989"/>
      <c r="Q10" s="2982" t="s">
        <v>25</v>
      </c>
      <c r="R10" s="2983"/>
      <c r="S10" s="2984"/>
    </row>
    <row r="11" spans="1:25" ht="15" customHeight="1" thickBot="1">
      <c r="B11" s="2870"/>
      <c r="C11" s="2870"/>
      <c r="D11" s="3000"/>
      <c r="E11" s="2985"/>
      <c r="F11" s="2986"/>
      <c r="G11" s="2986"/>
      <c r="H11" s="2987"/>
      <c r="I11" s="1609"/>
      <c r="J11" s="2988" t="s">
        <v>26</v>
      </c>
      <c r="K11" s="2989"/>
      <c r="L11" s="2988" t="s">
        <v>27</v>
      </c>
      <c r="M11" s="2989"/>
      <c r="N11" s="2988" t="s">
        <v>28</v>
      </c>
      <c r="O11" s="2990"/>
      <c r="P11" s="2989"/>
      <c r="Q11" s="2985"/>
      <c r="R11" s="2986"/>
      <c r="S11" s="2987"/>
    </row>
    <row r="12" spans="1:25" ht="11.25" customHeight="1" thickBot="1">
      <c r="B12" s="2870"/>
      <c r="C12" s="2870"/>
      <c r="D12" s="3000"/>
      <c r="E12" s="2869" t="s">
        <v>29</v>
      </c>
      <c r="F12" s="2869" t="s">
        <v>30</v>
      </c>
      <c r="G12" s="2991" t="s">
        <v>4261</v>
      </c>
      <c r="H12" s="2869" t="s">
        <v>4263</v>
      </c>
      <c r="I12" s="2993" t="s">
        <v>4262</v>
      </c>
      <c r="J12" s="2869" t="s">
        <v>3</v>
      </c>
      <c r="K12" s="2978" t="s">
        <v>32</v>
      </c>
      <c r="L12" s="2980" t="s">
        <v>3</v>
      </c>
      <c r="M12" s="2869" t="s">
        <v>32</v>
      </c>
      <c r="N12" s="2869" t="s">
        <v>3</v>
      </c>
      <c r="O12" s="2869" t="s">
        <v>32</v>
      </c>
      <c r="P12" s="2869" t="s">
        <v>0</v>
      </c>
      <c r="Q12" s="2869" t="s">
        <v>3</v>
      </c>
      <c r="R12" s="2995" t="s">
        <v>32</v>
      </c>
      <c r="S12" s="2869" t="s">
        <v>0</v>
      </c>
      <c r="W12" s="2972" t="s">
        <v>3624</v>
      </c>
      <c r="X12" s="2973"/>
      <c r="Y12" s="2974"/>
    </row>
    <row r="13" spans="1:25" ht="11.25" customHeight="1" thickBot="1">
      <c r="B13" s="2871"/>
      <c r="C13" s="2871"/>
      <c r="D13" s="2979"/>
      <c r="E13" s="2871"/>
      <c r="F13" s="2871"/>
      <c r="G13" s="2992"/>
      <c r="H13" s="2871"/>
      <c r="I13" s="2994"/>
      <c r="J13" s="2871"/>
      <c r="K13" s="2979"/>
      <c r="L13" s="2981"/>
      <c r="M13" s="2871"/>
      <c r="N13" s="2871"/>
      <c r="O13" s="2871"/>
      <c r="P13" s="2871"/>
      <c r="Q13" s="2871"/>
      <c r="R13" s="2996"/>
      <c r="S13" s="2871"/>
    </row>
    <row r="14" spans="1:25" ht="11.25" customHeight="1" thickBot="1">
      <c r="B14" s="1357"/>
      <c r="C14" s="1358"/>
      <c r="D14" s="1359"/>
      <c r="E14" s="1357"/>
      <c r="F14" s="1358"/>
      <c r="G14" s="1358"/>
      <c r="H14" s="1607"/>
      <c r="I14" s="1358"/>
      <c r="J14" s="1357"/>
      <c r="K14" s="1359"/>
      <c r="L14" s="1942"/>
      <c r="M14" s="1358"/>
      <c r="N14" s="1357"/>
      <c r="O14" s="1358"/>
      <c r="P14" s="1607"/>
      <c r="Q14" s="1357"/>
      <c r="R14" s="1775"/>
      <c r="S14" s="1607"/>
    </row>
    <row r="15" spans="1:25" s="1229" customFormat="1" ht="11.25" customHeight="1">
      <c r="A15" s="1229" t="s">
        <v>3630</v>
      </c>
      <c r="B15" s="1943" t="s">
        <v>33</v>
      </c>
      <c r="C15" s="1944" t="s">
        <v>4240</v>
      </c>
      <c r="D15" s="1945"/>
      <c r="E15" s="1946"/>
      <c r="F15" s="1947"/>
      <c r="G15" s="1948"/>
      <c r="H15" s="1949"/>
      <c r="I15" s="1950"/>
      <c r="J15" s="1951"/>
      <c r="K15" s="1952"/>
      <c r="L15" s="1953"/>
      <c r="M15" s="1954"/>
      <c r="N15" s="1227"/>
      <c r="O15" s="1955"/>
      <c r="P15" s="1228"/>
      <c r="Q15" s="1227"/>
      <c r="R15" s="1956"/>
      <c r="S15" s="1228"/>
      <c r="T15" s="1957"/>
      <c r="U15" s="1957"/>
      <c r="V15" s="1957"/>
      <c r="W15" s="1231" t="s">
        <v>3625</v>
      </c>
      <c r="X15" s="1231"/>
      <c r="Y15" s="1230">
        <f>SUM(M16:M36)</f>
        <v>0</v>
      </c>
    </row>
    <row r="16" spans="1:25" s="1231" customFormat="1" ht="11.25" customHeight="1">
      <c r="B16" s="1958" t="s">
        <v>35</v>
      </c>
      <c r="C16" s="1959" t="s">
        <v>4241</v>
      </c>
      <c r="D16" s="1960" t="s">
        <v>36</v>
      </c>
      <c r="E16" s="1961">
        <v>200</v>
      </c>
      <c r="F16" s="1962">
        <v>205.8</v>
      </c>
      <c r="G16" s="1963">
        <v>205.8</v>
      </c>
      <c r="H16" s="1964">
        <f>+E16*F16</f>
        <v>41160</v>
      </c>
      <c r="I16" s="1964">
        <f>+E16*G16</f>
        <v>41160</v>
      </c>
      <c r="J16" s="1965">
        <v>200</v>
      </c>
      <c r="K16" s="1232">
        <f>J16*G16</f>
        <v>41160</v>
      </c>
      <c r="L16" s="1966">
        <v>0</v>
      </c>
      <c r="M16" s="1967">
        <f>L16*F16</f>
        <v>0</v>
      </c>
      <c r="N16" s="1233">
        <f>J16+L16</f>
        <v>200</v>
      </c>
      <c r="O16" s="1366">
        <f>N16*G16</f>
        <v>41160</v>
      </c>
      <c r="P16" s="1968">
        <f>+IF(D16=0,"",O16/I16)</f>
        <v>1</v>
      </c>
      <c r="Q16" s="1969">
        <f>E16-N16</f>
        <v>0</v>
      </c>
      <c r="R16" s="1234">
        <f>ROUND((Q16*F16),2)</f>
        <v>0</v>
      </c>
      <c r="S16" s="1970">
        <f>+IF(H16=0,"",R16/H16)</f>
        <v>0</v>
      </c>
      <c r="T16" s="1230">
        <f>+R16+O16</f>
        <v>41160</v>
      </c>
      <c r="U16" s="1230">
        <f>+H16</f>
        <v>41160</v>
      </c>
      <c r="V16" s="1230">
        <f>+U16-T16</f>
        <v>0</v>
      </c>
      <c r="W16" s="1231" t="s">
        <v>1234</v>
      </c>
      <c r="Y16" s="1971" t="e">
        <f>SUM(#REF!)</f>
        <v>#REF!</v>
      </c>
    </row>
    <row r="17" spans="1:27" s="1231" customFormat="1" ht="11.25" customHeight="1" thickBot="1">
      <c r="B17" s="1958" t="s">
        <v>39</v>
      </c>
      <c r="C17" s="1959" t="s">
        <v>4242</v>
      </c>
      <c r="D17" s="1960" t="s">
        <v>36</v>
      </c>
      <c r="E17" s="1961">
        <v>6</v>
      </c>
      <c r="F17" s="1962">
        <v>74</v>
      </c>
      <c r="G17" s="1963">
        <v>74</v>
      </c>
      <c r="H17" s="1964">
        <f>+E17*F17</f>
        <v>444</v>
      </c>
      <c r="I17" s="1964">
        <f t="shared" ref="I17:I36" si="0">+E17*G17</f>
        <v>444</v>
      </c>
      <c r="J17" s="1965">
        <v>6</v>
      </c>
      <c r="K17" s="1232">
        <f>J17*G17</f>
        <v>444</v>
      </c>
      <c r="L17" s="1966">
        <v>0</v>
      </c>
      <c r="M17" s="1967">
        <f>L17*F17</f>
        <v>0</v>
      </c>
      <c r="N17" s="1233">
        <f>J17+L17</f>
        <v>6</v>
      </c>
      <c r="O17" s="1366">
        <f>N17*G17</f>
        <v>444</v>
      </c>
      <c r="P17" s="1968">
        <f>+IF(D17=0,"",O17/I17)</f>
        <v>1</v>
      </c>
      <c r="Q17" s="1969"/>
      <c r="R17" s="1234"/>
      <c r="S17" s="1970"/>
      <c r="T17" s="1230"/>
      <c r="U17" s="1230"/>
      <c r="V17" s="1230"/>
      <c r="Y17" s="1971"/>
    </row>
    <row r="18" spans="1:27" s="1229" customFormat="1" ht="10.95" customHeight="1">
      <c r="B18" s="1972" t="s">
        <v>42</v>
      </c>
      <c r="C18" s="1944" t="s">
        <v>4240</v>
      </c>
      <c r="D18" s="1973"/>
      <c r="E18" s="1974"/>
      <c r="F18" s="1975"/>
      <c r="G18" s="1976"/>
      <c r="H18" s="1977"/>
      <c r="I18" s="1964"/>
      <c r="J18" s="1965"/>
      <c r="K18" s="1232"/>
      <c r="L18" s="1966"/>
      <c r="M18" s="1967"/>
      <c r="N18" s="1233"/>
      <c r="O18" s="1366"/>
      <c r="P18" s="1968"/>
      <c r="Q18" s="1969"/>
      <c r="R18" s="1234"/>
      <c r="S18" s="1970"/>
      <c r="T18" s="1230">
        <f t="shared" ref="T18:T36" si="1">+R18+O18</f>
        <v>0</v>
      </c>
      <c r="U18" s="1230">
        <f>+H18</f>
        <v>0</v>
      </c>
      <c r="V18" s="1230">
        <f t="shared" ref="V18:V36" si="2">+U18-T18</f>
        <v>0</v>
      </c>
      <c r="W18" s="1231" t="s">
        <v>3627</v>
      </c>
      <c r="X18" s="1231"/>
      <c r="Y18" s="1971" t="e">
        <f>SUM(#REF!)</f>
        <v>#REF!</v>
      </c>
    </row>
    <row r="19" spans="1:27" s="1229" customFormat="1" ht="11.25" customHeight="1">
      <c r="B19" s="1958" t="s">
        <v>43</v>
      </c>
      <c r="C19" s="1959" t="s">
        <v>4243</v>
      </c>
      <c r="D19" s="1960" t="s">
        <v>36</v>
      </c>
      <c r="E19" s="1961">
        <v>200</v>
      </c>
      <c r="F19" s="1962">
        <v>182.5</v>
      </c>
      <c r="G19" s="1963">
        <v>182.5</v>
      </c>
      <c r="H19" s="1964">
        <f>+E19*F19</f>
        <v>36500</v>
      </c>
      <c r="I19" s="1964">
        <f t="shared" si="0"/>
        <v>36500</v>
      </c>
      <c r="J19" s="1965">
        <v>200</v>
      </c>
      <c r="K19" s="1232">
        <f t="shared" ref="K19:K20" si="3">J19*G19</f>
        <v>36500</v>
      </c>
      <c r="L19" s="1966">
        <v>0</v>
      </c>
      <c r="M19" s="1967">
        <f>L19*F19</f>
        <v>0</v>
      </c>
      <c r="N19" s="1233">
        <f>J19+L19</f>
        <v>200</v>
      </c>
      <c r="O19" s="1366">
        <f t="shared" ref="O19:O20" si="4">N19*G19</f>
        <v>36500</v>
      </c>
      <c r="P19" s="1968">
        <f t="shared" ref="P19:P20" si="5">+IF(D19=0,"",O19/I19)</f>
        <v>1</v>
      </c>
      <c r="Q19" s="1969">
        <f>E19-N19</f>
        <v>0</v>
      </c>
      <c r="R19" s="1234">
        <f>ROUND((Q19*F19),2)</f>
        <v>0</v>
      </c>
      <c r="S19" s="1970">
        <f>+IF(H19=0,"",R19/H19)</f>
        <v>0</v>
      </c>
      <c r="T19" s="1230">
        <f t="shared" si="1"/>
        <v>36500</v>
      </c>
      <c r="U19" s="1230">
        <f>+H19</f>
        <v>36500</v>
      </c>
      <c r="V19" s="1230">
        <f t="shared" si="2"/>
        <v>0</v>
      </c>
      <c r="W19" s="1231" t="s">
        <v>3628</v>
      </c>
      <c r="X19" s="1231"/>
      <c r="Y19" s="1971" t="e">
        <f>SUM(#REF!)</f>
        <v>#REF!</v>
      </c>
    </row>
    <row r="20" spans="1:27" s="1231" customFormat="1" ht="11.25" customHeight="1" thickBot="1">
      <c r="B20" s="1958" t="s">
        <v>44</v>
      </c>
      <c r="C20" s="1959" t="s">
        <v>4244</v>
      </c>
      <c r="D20" s="1960" t="s">
        <v>36</v>
      </c>
      <c r="E20" s="1961">
        <v>6</v>
      </c>
      <c r="F20" s="1962">
        <v>780</v>
      </c>
      <c r="G20" s="1963">
        <v>780</v>
      </c>
      <c r="H20" s="1964">
        <f>+E20*F20</f>
        <v>4680</v>
      </c>
      <c r="I20" s="1964">
        <f t="shared" si="0"/>
        <v>4680</v>
      </c>
      <c r="J20" s="1965">
        <v>6</v>
      </c>
      <c r="K20" s="1232">
        <f t="shared" si="3"/>
        <v>4680</v>
      </c>
      <c r="L20" s="1966">
        <v>0</v>
      </c>
      <c r="M20" s="1967">
        <f>L20*F20</f>
        <v>0</v>
      </c>
      <c r="N20" s="1233">
        <f>J20+L20</f>
        <v>6</v>
      </c>
      <c r="O20" s="1366">
        <f t="shared" si="4"/>
        <v>4680</v>
      </c>
      <c r="P20" s="1968">
        <f t="shared" si="5"/>
        <v>1</v>
      </c>
      <c r="Q20" s="1969">
        <f>E20-N20</f>
        <v>0</v>
      </c>
      <c r="R20" s="1234">
        <f>ROUND((Q20*F20),2)</f>
        <v>0</v>
      </c>
      <c r="S20" s="1970">
        <f>+IF(H20=0,"",R20/H20)</f>
        <v>0</v>
      </c>
      <c r="T20" s="1230">
        <f t="shared" si="1"/>
        <v>4680</v>
      </c>
      <c r="U20" s="1230">
        <f>+H20</f>
        <v>4680</v>
      </c>
      <c r="V20" s="1230">
        <f t="shared" si="2"/>
        <v>0</v>
      </c>
      <c r="W20" s="1231" t="s">
        <v>3629</v>
      </c>
      <c r="Y20" s="1971" t="e">
        <f>SUM(#REF!)</f>
        <v>#REF!</v>
      </c>
    </row>
    <row r="21" spans="1:27" s="1231" customFormat="1" ht="11.25" customHeight="1">
      <c r="B21" s="1972" t="s">
        <v>45</v>
      </c>
      <c r="C21" s="1944" t="s">
        <v>4245</v>
      </c>
      <c r="D21" s="1960"/>
      <c r="E21" s="1961"/>
      <c r="F21" s="1962"/>
      <c r="G21" s="1963"/>
      <c r="H21" s="1964"/>
      <c r="I21" s="1964"/>
      <c r="J21" s="1965"/>
      <c r="K21" s="1232"/>
      <c r="L21" s="1966"/>
      <c r="M21" s="1967"/>
      <c r="N21" s="1233"/>
      <c r="O21" s="1366"/>
      <c r="P21" s="1968"/>
      <c r="Q21" s="1969"/>
      <c r="R21" s="1234"/>
      <c r="S21" s="1970"/>
      <c r="T21" s="1230"/>
      <c r="U21" s="1230"/>
      <c r="V21" s="1230"/>
      <c r="Y21" s="1971"/>
    </row>
    <row r="22" spans="1:27" s="1229" customFormat="1" ht="11.25" customHeight="1" thickBot="1">
      <c r="B22" s="1958" t="s">
        <v>47</v>
      </c>
      <c r="C22" s="1959" t="s">
        <v>4246</v>
      </c>
      <c r="D22" s="1960" t="s">
        <v>41</v>
      </c>
      <c r="E22" s="1961">
        <v>1</v>
      </c>
      <c r="F22" s="1962">
        <v>4300</v>
      </c>
      <c r="G22" s="1963">
        <v>4300</v>
      </c>
      <c r="H22" s="1964">
        <f>+E22*F22</f>
        <v>4300</v>
      </c>
      <c r="I22" s="1964">
        <f t="shared" si="0"/>
        <v>4300</v>
      </c>
      <c r="J22" s="1965">
        <v>1</v>
      </c>
      <c r="K22" s="1232">
        <f>J22*G22</f>
        <v>4300</v>
      </c>
      <c r="L22" s="1966">
        <v>0</v>
      </c>
      <c r="M22" s="1967">
        <f>L22*F22</f>
        <v>0</v>
      </c>
      <c r="N22" s="1233">
        <f>J22+L22</f>
        <v>1</v>
      </c>
      <c r="O22" s="1366">
        <f>N22*G22</f>
        <v>4300</v>
      </c>
      <c r="P22" s="1968">
        <f>+IF(D22=0,"",O22/I22)</f>
        <v>1</v>
      </c>
      <c r="Q22" s="1969">
        <f>E22-N22</f>
        <v>0</v>
      </c>
      <c r="R22" s="1234">
        <f>ROUND((Q22*F22),2)</f>
        <v>0</v>
      </c>
      <c r="S22" s="1970">
        <f>+IF(H22=0,"",R22/H22)</f>
        <v>0</v>
      </c>
      <c r="T22" s="1230">
        <f t="shared" si="1"/>
        <v>4300</v>
      </c>
      <c r="U22" s="1230">
        <f>+H22</f>
        <v>4300</v>
      </c>
      <c r="V22" s="1230">
        <f t="shared" si="2"/>
        <v>0</v>
      </c>
    </row>
    <row r="23" spans="1:27" s="1229" customFormat="1" ht="11.25" customHeight="1">
      <c r="B23" s="1972" t="s">
        <v>488</v>
      </c>
      <c r="C23" s="1944" t="s">
        <v>4247</v>
      </c>
      <c r="D23" s="1960"/>
      <c r="E23" s="1961"/>
      <c r="F23" s="1962"/>
      <c r="G23" s="1963"/>
      <c r="H23" s="1964"/>
      <c r="I23" s="1964"/>
      <c r="J23" s="1965"/>
      <c r="K23" s="1232"/>
      <c r="L23" s="1966"/>
      <c r="M23" s="1967"/>
      <c r="N23" s="1233"/>
      <c r="O23" s="1366"/>
      <c r="P23" s="1968"/>
      <c r="Q23" s="1969"/>
      <c r="R23" s="1234"/>
      <c r="S23" s="1970"/>
      <c r="T23" s="1230"/>
      <c r="U23" s="1230"/>
      <c r="V23" s="1230"/>
    </row>
    <row r="24" spans="1:27" s="1231" customFormat="1" ht="11.25" customHeight="1" thickBot="1">
      <c r="B24" s="1958" t="s">
        <v>489</v>
      </c>
      <c r="C24" s="1959" t="s">
        <v>4247</v>
      </c>
      <c r="D24" s="1960" t="s">
        <v>41</v>
      </c>
      <c r="E24" s="1961">
        <v>1</v>
      </c>
      <c r="F24" s="1962">
        <v>4880</v>
      </c>
      <c r="G24" s="1963">
        <v>4880</v>
      </c>
      <c r="H24" s="1964">
        <f>+E24*F24</f>
        <v>4880</v>
      </c>
      <c r="I24" s="1964">
        <f t="shared" si="0"/>
        <v>4880</v>
      </c>
      <c r="J24" s="1965">
        <v>1</v>
      </c>
      <c r="K24" s="1232">
        <f>J24*G24</f>
        <v>4880</v>
      </c>
      <c r="L24" s="1966">
        <v>0</v>
      </c>
      <c r="M24" s="1967">
        <f>L24*F24</f>
        <v>0</v>
      </c>
      <c r="N24" s="1233">
        <f>J24+L24</f>
        <v>1</v>
      </c>
      <c r="O24" s="1366">
        <f>N24*G24</f>
        <v>4880</v>
      </c>
      <c r="P24" s="1968">
        <f>+IF(D24=0,"",O24/I24)</f>
        <v>1</v>
      </c>
      <c r="Q24" s="1969">
        <f>E24-N24</f>
        <v>0</v>
      </c>
      <c r="R24" s="1234">
        <f>ROUND((Q24*F24),2)</f>
        <v>0</v>
      </c>
      <c r="S24" s="1970">
        <f>+IF(H24=0,"",R24/H24)</f>
        <v>0</v>
      </c>
      <c r="T24" s="1230">
        <f t="shared" si="1"/>
        <v>4880</v>
      </c>
      <c r="U24" s="1230">
        <f>+H24</f>
        <v>4880</v>
      </c>
      <c r="V24" s="1230">
        <f t="shared" si="2"/>
        <v>0</v>
      </c>
      <c r="X24" s="1229" t="s">
        <v>2</v>
      </c>
      <c r="Y24" s="1957" t="e">
        <f>SUM(Y15:Y22)</f>
        <v>#REF!</v>
      </c>
      <c r="Z24" s="1230">
        <f>+M37</f>
        <v>0</v>
      </c>
      <c r="AA24" s="1230" t="e">
        <f>+Y24-Z24</f>
        <v>#REF!</v>
      </c>
    </row>
    <row r="25" spans="1:27" s="1231" customFormat="1" ht="11.25" customHeight="1">
      <c r="B25" s="1972" t="s">
        <v>511</v>
      </c>
      <c r="C25" s="1944" t="s">
        <v>4248</v>
      </c>
      <c r="D25" s="1960"/>
      <c r="E25" s="1961"/>
      <c r="F25" s="1962"/>
      <c r="G25" s="1963"/>
      <c r="H25" s="1964"/>
      <c r="I25" s="1964"/>
      <c r="J25" s="1965"/>
      <c r="K25" s="1232"/>
      <c r="L25" s="1966"/>
      <c r="M25" s="1967"/>
      <c r="N25" s="1233"/>
      <c r="O25" s="1366"/>
      <c r="P25" s="1968"/>
      <c r="Q25" s="1969"/>
      <c r="R25" s="1234"/>
      <c r="S25" s="1970"/>
      <c r="T25" s="1230"/>
      <c r="U25" s="1230"/>
      <c r="V25" s="1230"/>
      <c r="X25" s="1229"/>
      <c r="Y25" s="1957"/>
      <c r="Z25" s="1230"/>
      <c r="AA25" s="1230"/>
    </row>
    <row r="26" spans="1:27" s="1231" customFormat="1" ht="11.25" customHeight="1" thickBot="1">
      <c r="B26" s="1958" t="s">
        <v>512</v>
      </c>
      <c r="C26" s="1959" t="s">
        <v>4249</v>
      </c>
      <c r="D26" s="1960" t="s">
        <v>41</v>
      </c>
      <c r="E26" s="1961">
        <v>1</v>
      </c>
      <c r="F26" s="1962">
        <v>5520</v>
      </c>
      <c r="G26" s="1963">
        <v>5520</v>
      </c>
      <c r="H26" s="1964">
        <f>+E26*F26</f>
        <v>5520</v>
      </c>
      <c r="I26" s="1964">
        <f t="shared" si="0"/>
        <v>5520</v>
      </c>
      <c r="J26" s="1965">
        <v>1</v>
      </c>
      <c r="K26" s="1232">
        <f>J26*G26</f>
        <v>5520</v>
      </c>
      <c r="L26" s="1966">
        <v>0</v>
      </c>
      <c r="M26" s="1967">
        <f>L26*F26</f>
        <v>0</v>
      </c>
      <c r="N26" s="1233">
        <f>J26+L26</f>
        <v>1</v>
      </c>
      <c r="O26" s="1366">
        <f>N26*G26</f>
        <v>5520</v>
      </c>
      <c r="P26" s="1968">
        <f>+IF(D26=0,"",O26/I26)</f>
        <v>1</v>
      </c>
      <c r="Q26" s="1969">
        <f>E26-N26</f>
        <v>0</v>
      </c>
      <c r="R26" s="1234">
        <f>ROUND((Q26*F26),2)</f>
        <v>0</v>
      </c>
      <c r="S26" s="1970">
        <f>+IF(H26=0,"",R26/H26)</f>
        <v>0</v>
      </c>
      <c r="T26" s="1230">
        <f t="shared" si="1"/>
        <v>5520</v>
      </c>
      <c r="U26" s="1230">
        <f>+H26</f>
        <v>5520</v>
      </c>
      <c r="V26" s="1230">
        <f t="shared" si="2"/>
        <v>0</v>
      </c>
    </row>
    <row r="27" spans="1:27" s="1231" customFormat="1" ht="11.25" customHeight="1">
      <c r="B27" s="1972" t="s">
        <v>514</v>
      </c>
      <c r="C27" s="1944" t="s">
        <v>4250</v>
      </c>
      <c r="D27" s="1960"/>
      <c r="E27" s="1961"/>
      <c r="F27" s="1962"/>
      <c r="G27" s="1963"/>
      <c r="H27" s="1964"/>
      <c r="I27" s="1964"/>
      <c r="J27" s="1965"/>
      <c r="K27" s="1232"/>
      <c r="L27" s="1966"/>
      <c r="M27" s="1967"/>
      <c r="N27" s="1233"/>
      <c r="O27" s="1366"/>
      <c r="P27" s="1968"/>
      <c r="Q27" s="1969"/>
      <c r="R27" s="1234"/>
      <c r="S27" s="1970"/>
      <c r="T27" s="1230"/>
      <c r="U27" s="1230"/>
      <c r="V27" s="1230"/>
    </row>
    <row r="28" spans="1:27" s="1231" customFormat="1" ht="11.25" customHeight="1" thickBot="1">
      <c r="A28" s="1231" t="s">
        <v>3630</v>
      </c>
      <c r="B28" s="1958" t="s">
        <v>515</v>
      </c>
      <c r="C28" s="1959" t="s">
        <v>4250</v>
      </c>
      <c r="D28" s="1960" t="s">
        <v>41</v>
      </c>
      <c r="E28" s="1961">
        <v>1</v>
      </c>
      <c r="F28" s="1962">
        <v>5530</v>
      </c>
      <c r="G28" s="1963">
        <v>5530</v>
      </c>
      <c r="H28" s="1964">
        <f>+E28*F28</f>
        <v>5530</v>
      </c>
      <c r="I28" s="1964">
        <f t="shared" si="0"/>
        <v>5530</v>
      </c>
      <c r="J28" s="1965">
        <v>1</v>
      </c>
      <c r="K28" s="1232">
        <f>J28*G28</f>
        <v>5530</v>
      </c>
      <c r="L28" s="1966">
        <v>0</v>
      </c>
      <c r="M28" s="1967">
        <f>L28*F28</f>
        <v>0</v>
      </c>
      <c r="N28" s="1233">
        <f>J28+L28</f>
        <v>1</v>
      </c>
      <c r="O28" s="1366">
        <f>N28*G28</f>
        <v>5530</v>
      </c>
      <c r="P28" s="1968">
        <f>+IF(D28=0,"",O28/I28)</f>
        <v>1</v>
      </c>
      <c r="Q28" s="1969">
        <f>E28-N28</f>
        <v>0</v>
      </c>
      <c r="R28" s="1234">
        <f>ROUND((Q28*F28),2)</f>
        <v>0</v>
      </c>
      <c r="S28" s="1970">
        <f>+IF(H28=0,"",R28/H28)</f>
        <v>0</v>
      </c>
      <c r="T28" s="1230">
        <f t="shared" si="1"/>
        <v>5530</v>
      </c>
      <c r="U28" s="1230">
        <f>+H28</f>
        <v>5530</v>
      </c>
      <c r="V28" s="1230">
        <f t="shared" si="2"/>
        <v>0</v>
      </c>
    </row>
    <row r="29" spans="1:27" s="1231" customFormat="1" ht="11.25" customHeight="1">
      <c r="B29" s="1972" t="s">
        <v>1879</v>
      </c>
      <c r="C29" s="1944" t="s">
        <v>4251</v>
      </c>
      <c r="D29" s="1960"/>
      <c r="E29" s="1961"/>
      <c r="F29" s="1962"/>
      <c r="G29" s="1963"/>
      <c r="H29" s="1964"/>
      <c r="I29" s="1964"/>
      <c r="J29" s="1965"/>
      <c r="K29" s="1232"/>
      <c r="L29" s="1966"/>
      <c r="M29" s="1967"/>
      <c r="N29" s="1233"/>
      <c r="O29" s="1366"/>
      <c r="P29" s="1968"/>
      <c r="Q29" s="1969"/>
      <c r="R29" s="1234"/>
      <c r="S29" s="1970"/>
      <c r="T29" s="1230"/>
      <c r="U29" s="1230"/>
      <c r="V29" s="1230"/>
    </row>
    <row r="30" spans="1:27" s="1231" customFormat="1" ht="11.25" customHeight="1" thickBot="1">
      <c r="B30" s="1958" t="s">
        <v>3636</v>
      </c>
      <c r="C30" s="1959" t="s">
        <v>4252</v>
      </c>
      <c r="D30" s="1960" t="s">
        <v>41</v>
      </c>
      <c r="E30" s="1961">
        <v>1</v>
      </c>
      <c r="F30" s="1962">
        <v>2125</v>
      </c>
      <c r="G30" s="1963">
        <v>2125</v>
      </c>
      <c r="H30" s="1964">
        <f>+E30*F30</f>
        <v>2125</v>
      </c>
      <c r="I30" s="1964">
        <f t="shared" si="0"/>
        <v>2125</v>
      </c>
      <c r="J30" s="1965">
        <v>1</v>
      </c>
      <c r="K30" s="1232">
        <f>J30*G30</f>
        <v>2125</v>
      </c>
      <c r="L30" s="1966">
        <v>0</v>
      </c>
      <c r="M30" s="1967">
        <f>L30*F30</f>
        <v>0</v>
      </c>
      <c r="N30" s="1233">
        <f>J30+L30</f>
        <v>1</v>
      </c>
      <c r="O30" s="1366">
        <f>N30*G30</f>
        <v>2125</v>
      </c>
      <c r="P30" s="1968">
        <f>+IF(D30=0,"",O30/I30)</f>
        <v>1</v>
      </c>
      <c r="Q30" s="1969">
        <f>E30-N30</f>
        <v>0</v>
      </c>
      <c r="R30" s="1234">
        <f>ROUND((Q30*F30),2)</f>
        <v>0</v>
      </c>
      <c r="S30" s="1970">
        <f>+IF(H30=0,"",R30/H30)</f>
        <v>0</v>
      </c>
      <c r="T30" s="1230">
        <f t="shared" si="1"/>
        <v>2125</v>
      </c>
      <c r="U30" s="1230">
        <f>+H30</f>
        <v>2125</v>
      </c>
      <c r="V30" s="1230">
        <f t="shared" si="2"/>
        <v>0</v>
      </c>
    </row>
    <row r="31" spans="1:27" s="1231" customFormat="1" ht="11.25" customHeight="1">
      <c r="B31" s="1972" t="s">
        <v>3637</v>
      </c>
      <c r="C31" s="1944" t="s">
        <v>4251</v>
      </c>
      <c r="D31" s="1960"/>
      <c r="E31" s="1961"/>
      <c r="F31" s="1962"/>
      <c r="G31" s="1963"/>
      <c r="H31" s="1964"/>
      <c r="I31" s="1964"/>
      <c r="J31" s="1965"/>
      <c r="K31" s="1232"/>
      <c r="L31" s="1966"/>
      <c r="M31" s="1967"/>
      <c r="N31" s="1233"/>
      <c r="O31" s="1366"/>
      <c r="P31" s="1968"/>
      <c r="Q31" s="1969"/>
      <c r="R31" s="1234"/>
      <c r="S31" s="1970"/>
      <c r="T31" s="1230"/>
      <c r="U31" s="1230"/>
      <c r="V31" s="1230"/>
    </row>
    <row r="32" spans="1:27" s="1229" customFormat="1" ht="11.25" customHeight="1">
      <c r="A32" s="1229" t="s">
        <v>3630</v>
      </c>
      <c r="B32" s="1958" t="s">
        <v>3639</v>
      </c>
      <c r="C32" s="1959" t="s">
        <v>4253</v>
      </c>
      <c r="D32" s="1960" t="s">
        <v>36</v>
      </c>
      <c r="E32" s="1961">
        <v>12</v>
      </c>
      <c r="F32" s="1962">
        <v>391.48</v>
      </c>
      <c r="G32" s="1963">
        <v>395.14</v>
      </c>
      <c r="H32" s="1964">
        <f>+E32*F32</f>
        <v>4697.76</v>
      </c>
      <c r="I32" s="1964">
        <f t="shared" si="0"/>
        <v>4741.68</v>
      </c>
      <c r="J32" s="1965">
        <v>12</v>
      </c>
      <c r="K32" s="1232">
        <f t="shared" ref="K32:K34" si="6">J32*G32</f>
        <v>4741.68</v>
      </c>
      <c r="L32" s="1966">
        <v>0</v>
      </c>
      <c r="M32" s="1967">
        <f>L32*F32</f>
        <v>0</v>
      </c>
      <c r="N32" s="1233">
        <f>J32+L32</f>
        <v>12</v>
      </c>
      <c r="O32" s="1366">
        <f t="shared" ref="O32:O34" si="7">N32*G32</f>
        <v>4741.68</v>
      </c>
      <c r="P32" s="1968">
        <f t="shared" ref="P32:P34" si="8">+IF(D32=0,"",O32/I32)</f>
        <v>1</v>
      </c>
      <c r="Q32" s="1969">
        <f>E32-N32</f>
        <v>0</v>
      </c>
      <c r="R32" s="1234">
        <f>ROUND((Q32*F32),2)</f>
        <v>0</v>
      </c>
      <c r="S32" s="1970">
        <f>+IF(H32=0,"",R32/H32)</f>
        <v>0</v>
      </c>
      <c r="T32" s="1230">
        <f t="shared" si="1"/>
        <v>4741.68</v>
      </c>
      <c r="U32" s="1230">
        <f>+H32</f>
        <v>4697.76</v>
      </c>
      <c r="V32" s="1230">
        <f t="shared" si="2"/>
        <v>-43.920000000000073</v>
      </c>
    </row>
    <row r="33" spans="1:24" s="1231" customFormat="1" ht="11.25" customHeight="1">
      <c r="A33" s="1231" t="s">
        <v>3630</v>
      </c>
      <c r="B33" s="1958" t="s">
        <v>4254</v>
      </c>
      <c r="C33" s="1959" t="s">
        <v>4255</v>
      </c>
      <c r="D33" s="1960" t="s">
        <v>36</v>
      </c>
      <c r="E33" s="1961">
        <v>24</v>
      </c>
      <c r="F33" s="1962">
        <v>135.31</v>
      </c>
      <c r="G33" s="1963">
        <v>137.22999999999999</v>
      </c>
      <c r="H33" s="1964">
        <f>+E33*F33</f>
        <v>3247.44</v>
      </c>
      <c r="I33" s="1964">
        <f t="shared" si="0"/>
        <v>3293.5199999999995</v>
      </c>
      <c r="J33" s="1965">
        <v>24</v>
      </c>
      <c r="K33" s="1232">
        <f t="shared" si="6"/>
        <v>3293.5199999999995</v>
      </c>
      <c r="L33" s="1966">
        <v>0</v>
      </c>
      <c r="M33" s="1967">
        <f>L33*F33</f>
        <v>0</v>
      </c>
      <c r="N33" s="1233">
        <f>J33+L33</f>
        <v>24</v>
      </c>
      <c r="O33" s="1366">
        <f t="shared" si="7"/>
        <v>3293.5199999999995</v>
      </c>
      <c r="P33" s="1968">
        <f t="shared" si="8"/>
        <v>1</v>
      </c>
      <c r="Q33" s="1969">
        <f>E33-N33</f>
        <v>0</v>
      </c>
      <c r="R33" s="1234">
        <f>ROUND((Q33*F33),2)</f>
        <v>0</v>
      </c>
      <c r="S33" s="1970">
        <f>+IF(H33=0,"",R33/H33)</f>
        <v>0</v>
      </c>
      <c r="T33" s="1230">
        <f t="shared" si="1"/>
        <v>3293.5199999999995</v>
      </c>
      <c r="U33" s="1230">
        <f>+H33</f>
        <v>3247.44</v>
      </c>
      <c r="V33" s="1230">
        <f t="shared" si="2"/>
        <v>-46.079999999999472</v>
      </c>
    </row>
    <row r="34" spans="1:24" s="1229" customFormat="1" ht="11.25" customHeight="1" thickBot="1">
      <c r="A34" s="1229" t="s">
        <v>3630</v>
      </c>
      <c r="B34" s="1978" t="s">
        <v>549</v>
      </c>
      <c r="C34" s="1959" t="s">
        <v>4256</v>
      </c>
      <c r="D34" s="1960" t="s">
        <v>36</v>
      </c>
      <c r="E34" s="1961">
        <v>10</v>
      </c>
      <c r="F34" s="1962">
        <v>81.31</v>
      </c>
      <c r="G34" s="1963">
        <v>83.23</v>
      </c>
      <c r="H34" s="1964">
        <f>+E34*F34</f>
        <v>813.1</v>
      </c>
      <c r="I34" s="1964">
        <f t="shared" si="0"/>
        <v>832.30000000000007</v>
      </c>
      <c r="J34" s="1965">
        <v>10</v>
      </c>
      <c r="K34" s="1232">
        <f t="shared" si="6"/>
        <v>832.30000000000007</v>
      </c>
      <c r="L34" s="1966">
        <v>0</v>
      </c>
      <c r="M34" s="1967">
        <f>L34*F34</f>
        <v>0</v>
      </c>
      <c r="N34" s="1233">
        <f>J34+L34</f>
        <v>10</v>
      </c>
      <c r="O34" s="1366">
        <f t="shared" si="7"/>
        <v>832.30000000000007</v>
      </c>
      <c r="P34" s="1968">
        <f t="shared" si="8"/>
        <v>1</v>
      </c>
      <c r="Q34" s="1969">
        <f>E34-N34</f>
        <v>0</v>
      </c>
      <c r="R34" s="1234">
        <f>ROUND((Q34*F34),2)</f>
        <v>0</v>
      </c>
      <c r="S34" s="1970">
        <f>+IF(H34=0,"",R34/H34)</f>
        <v>0</v>
      </c>
      <c r="T34" s="1230">
        <f t="shared" si="1"/>
        <v>832.30000000000007</v>
      </c>
      <c r="U34" s="1230">
        <f>+H34</f>
        <v>813.1</v>
      </c>
      <c r="V34" s="1230">
        <f t="shared" si="2"/>
        <v>-19.200000000000045</v>
      </c>
    </row>
    <row r="35" spans="1:24" s="1229" customFormat="1" ht="11.25" customHeight="1">
      <c r="B35" s="1972" t="s">
        <v>4257</v>
      </c>
      <c r="C35" s="1944" t="s">
        <v>4258</v>
      </c>
      <c r="D35" s="1960"/>
      <c r="E35" s="1961"/>
      <c r="F35" s="1962"/>
      <c r="G35" s="1963"/>
      <c r="H35" s="1964"/>
      <c r="I35" s="1964"/>
      <c r="J35" s="1965"/>
      <c r="K35" s="1232"/>
      <c r="L35" s="1966"/>
      <c r="M35" s="1967"/>
      <c r="N35" s="1233"/>
      <c r="O35" s="1366"/>
      <c r="P35" s="1968"/>
      <c r="Q35" s="1969"/>
      <c r="R35" s="1234"/>
      <c r="S35" s="1970"/>
      <c r="T35" s="1230"/>
      <c r="U35" s="1230"/>
      <c r="V35" s="1230"/>
    </row>
    <row r="36" spans="1:24" s="1229" customFormat="1" ht="15" customHeight="1" thickBot="1">
      <c r="B36" s="1958" t="s">
        <v>4259</v>
      </c>
      <c r="C36" s="1959" t="s">
        <v>4260</v>
      </c>
      <c r="D36" s="1960" t="s">
        <v>36</v>
      </c>
      <c r="E36" s="1961">
        <v>300</v>
      </c>
      <c r="F36" s="1962">
        <v>170</v>
      </c>
      <c r="G36" s="1963">
        <v>170</v>
      </c>
      <c r="H36" s="1964">
        <f>+E36*F36</f>
        <v>51000</v>
      </c>
      <c r="I36" s="1964">
        <f t="shared" si="0"/>
        <v>51000</v>
      </c>
      <c r="J36" s="1965">
        <v>300</v>
      </c>
      <c r="K36" s="1232">
        <f>J36*G36</f>
        <v>51000</v>
      </c>
      <c r="L36" s="1966">
        <v>0</v>
      </c>
      <c r="M36" s="1967">
        <f>L36*F36</f>
        <v>0</v>
      </c>
      <c r="N36" s="1233">
        <f>J36+L36</f>
        <v>300</v>
      </c>
      <c r="O36" s="1366">
        <f>N36*G36</f>
        <v>51000</v>
      </c>
      <c r="P36" s="1968">
        <f>+IF(D36=0,"",O36/I36)</f>
        <v>1</v>
      </c>
      <c r="Q36" s="1969">
        <f>E36-N36</f>
        <v>0</v>
      </c>
      <c r="R36" s="1234">
        <f>ROUND((Q36*F36),2)</f>
        <v>0</v>
      </c>
      <c r="S36" s="1970">
        <f>+IF(H36=0,"",R36/H36)</f>
        <v>0</v>
      </c>
      <c r="T36" s="1230">
        <f t="shared" si="1"/>
        <v>51000</v>
      </c>
      <c r="U36" s="1230">
        <f>+H36</f>
        <v>51000</v>
      </c>
      <c r="V36" s="1230">
        <f t="shared" si="2"/>
        <v>0</v>
      </c>
    </row>
    <row r="37" spans="1:24" s="561" customFormat="1" ht="15.6" customHeight="1">
      <c r="B37" s="1253"/>
      <c r="C37" s="1327" t="s">
        <v>59</v>
      </c>
      <c r="D37" s="1328"/>
      <c r="E37" s="1328"/>
      <c r="F37" s="1328"/>
      <c r="G37" s="1328"/>
      <c r="H37" s="1329">
        <f>(SUM(H16:H36))</f>
        <v>164897.29999999999</v>
      </c>
      <c r="I37" s="1329">
        <f>(SUM(I16:I36))</f>
        <v>165006.5</v>
      </c>
      <c r="J37" s="1928">
        <f>K37/I37</f>
        <v>1</v>
      </c>
      <c r="K37" s="1330">
        <f>SUM(K16:K36)</f>
        <v>165006.5</v>
      </c>
      <c r="L37" s="1332">
        <f>M37/H37</f>
        <v>0</v>
      </c>
      <c r="M37" s="1330">
        <f>SUM(M16:M36)</f>
        <v>0</v>
      </c>
      <c r="N37" s="1332">
        <f>O37/I37</f>
        <v>1</v>
      </c>
      <c r="O37" s="1330">
        <f>SUM(O16:O36)</f>
        <v>165006.5</v>
      </c>
      <c r="P37" s="1332"/>
      <c r="Q37" s="1254"/>
      <c r="R37" s="1329">
        <f>SUM(R16:R36)</f>
        <v>0</v>
      </c>
      <c r="S37" s="1376">
        <f>R37/I37</f>
        <v>0</v>
      </c>
      <c r="T37" s="562">
        <f>+R37+O37</f>
        <v>165006.5</v>
      </c>
      <c r="U37" s="562"/>
      <c r="V37" s="562"/>
      <c r="W37" s="562">
        <f>+H37</f>
        <v>164897.29999999999</v>
      </c>
      <c r="X37" s="562">
        <f>+T37-W37</f>
        <v>109.20000000001164</v>
      </c>
    </row>
    <row r="38" spans="1:24" s="561" customFormat="1" ht="14.4" customHeight="1">
      <c r="B38" s="1255"/>
      <c r="C38" s="1338" t="s">
        <v>256</v>
      </c>
      <c r="D38" s="1443"/>
      <c r="E38" s="1333"/>
      <c r="F38" s="1333"/>
      <c r="G38" s="1333"/>
      <c r="H38" s="1334">
        <v>100529.56</v>
      </c>
      <c r="I38" s="1334">
        <v>100529.56</v>
      </c>
      <c r="J38" s="1979"/>
      <c r="K38" s="1335">
        <f>+I38</f>
        <v>100529.56</v>
      </c>
      <c r="L38" s="1336"/>
      <c r="M38" s="1335">
        <v>0</v>
      </c>
      <c r="N38" s="1336"/>
      <c r="O38" s="1335">
        <f>K38+M38</f>
        <v>100529.56</v>
      </c>
      <c r="P38" s="1336"/>
      <c r="Q38" s="1275"/>
      <c r="R38" s="1334">
        <f>H38-O38</f>
        <v>0</v>
      </c>
      <c r="S38" s="1337"/>
      <c r="T38" s="562"/>
      <c r="U38" s="562"/>
      <c r="V38" s="562"/>
      <c r="W38" s="562"/>
    </row>
    <row r="39" spans="1:24" s="1229" customFormat="1" ht="15.75" customHeight="1" thickBot="1">
      <c r="B39" s="1256"/>
      <c r="C39" s="1836" t="s">
        <v>61</v>
      </c>
      <c r="D39" s="1257"/>
      <c r="E39" s="1257"/>
      <c r="F39" s="1257"/>
      <c r="G39" s="1257"/>
      <c r="H39" s="1258">
        <f>+H38+H37</f>
        <v>265426.86</v>
      </c>
      <c r="I39" s="1258">
        <f>+I38+I37</f>
        <v>265536.06</v>
      </c>
      <c r="J39" s="1261">
        <f>K39/I39</f>
        <v>1</v>
      </c>
      <c r="K39" s="1259">
        <f>+K38+K37</f>
        <v>265536.06</v>
      </c>
      <c r="L39" s="1261">
        <f>M39/H39</f>
        <v>0</v>
      </c>
      <c r="M39" s="1259">
        <f>+M38+M37</f>
        <v>0</v>
      </c>
      <c r="N39" s="1261">
        <f>O39/I39</f>
        <v>1</v>
      </c>
      <c r="O39" s="1259">
        <f>+O38+O37</f>
        <v>265536.06</v>
      </c>
      <c r="P39" s="1261"/>
      <c r="Q39" s="1260"/>
      <c r="R39" s="1258">
        <f>+R38+R37</f>
        <v>0</v>
      </c>
      <c r="S39" s="1980">
        <f>R39/H39</f>
        <v>0</v>
      </c>
      <c r="T39" s="562">
        <f>+H39</f>
        <v>265426.86</v>
      </c>
      <c r="U39" s="562"/>
      <c r="V39" s="562"/>
      <c r="W39" s="562">
        <f>+O39+R39</f>
        <v>265536.06</v>
      </c>
      <c r="X39" s="562">
        <f>+T39-W39</f>
        <v>-109.20000000001164</v>
      </c>
    </row>
    <row r="40" spans="1:24" s="561" customFormat="1" ht="10.199999999999999" hidden="1">
      <c r="B40" s="1244"/>
      <c r="C40" s="1246"/>
      <c r="D40" s="1247"/>
      <c r="E40" s="1248"/>
      <c r="F40" s="1249"/>
      <c r="G40" s="1249"/>
      <c r="H40" s="1250"/>
      <c r="I40" s="1250"/>
      <c r="J40" s="1251"/>
      <c r="K40" s="1252"/>
      <c r="L40" s="1251"/>
      <c r="M40" s="1251"/>
      <c r="N40" s="1247"/>
      <c r="O40" s="1251"/>
      <c r="P40" s="1251"/>
      <c r="Q40" s="1249"/>
      <c r="R40" s="1246"/>
      <c r="S40" s="1246"/>
      <c r="T40" s="562"/>
      <c r="U40" s="562"/>
      <c r="V40" s="562"/>
    </row>
    <row r="41" spans="1:24" s="561" customFormat="1" ht="10.199999999999999" hidden="1">
      <c r="B41" s="1713"/>
      <c r="C41" s="1714"/>
      <c r="D41" s="638"/>
      <c r="E41" s="1715"/>
      <c r="F41" s="1837"/>
      <c r="G41" s="1837"/>
      <c r="H41" s="1716"/>
      <c r="I41" s="1716"/>
      <c r="J41" s="1717"/>
      <c r="K41" s="638"/>
      <c r="L41" s="1717"/>
      <c r="M41" s="1717"/>
      <c r="N41" s="638"/>
      <c r="O41" s="1717"/>
      <c r="P41" s="1717"/>
      <c r="Q41" s="1837"/>
      <c r="R41" s="1714"/>
      <c r="S41" s="1714"/>
    </row>
    <row r="42" spans="1:24" s="561" customFormat="1" ht="13.2" hidden="1" customHeight="1">
      <c r="B42" s="1720"/>
      <c r="C42" s="1721"/>
      <c r="D42" s="2975" t="s">
        <v>62</v>
      </c>
      <c r="E42" s="2976"/>
      <c r="F42" s="2976"/>
      <c r="G42" s="2976"/>
      <c r="H42" s="2976"/>
      <c r="I42" s="2976"/>
      <c r="J42" s="2977"/>
      <c r="K42" s="1722">
        <f>+K37/H37</f>
        <v>1.0006622303700548</v>
      </c>
      <c r="L42" s="1724"/>
      <c r="M42" s="1725">
        <f>+M37/H37</f>
        <v>0</v>
      </c>
      <c r="N42" s="683"/>
      <c r="O42" s="1724"/>
      <c r="P42" s="1725">
        <f>+O37/H37</f>
        <v>1.0006622303700548</v>
      </c>
      <c r="Q42" s="1838"/>
      <c r="R42" s="1726"/>
      <c r="S42" s="1727">
        <f>+R37/H37</f>
        <v>0</v>
      </c>
      <c r="T42" s="1728"/>
      <c r="U42" s="1728"/>
      <c r="V42" s="1728"/>
    </row>
    <row r="43" spans="1:24" s="561" customFormat="1" hidden="1">
      <c r="B43" s="1713"/>
      <c r="C43" s="1714"/>
      <c r="D43" s="683"/>
      <c r="E43" s="1729"/>
      <c r="F43" s="1839"/>
      <c r="G43" s="1839"/>
      <c r="H43" s="1730"/>
      <c r="I43" s="1730"/>
      <c r="J43" s="683"/>
      <c r="K43" s="683"/>
      <c r="L43" s="1724"/>
      <c r="M43" s="1724"/>
      <c r="N43" s="683"/>
      <c r="O43" s="1724"/>
      <c r="P43" s="683"/>
      <c r="Q43" s="1838"/>
      <c r="R43" s="1726"/>
      <c r="S43" s="1731"/>
    </row>
    <row r="44" spans="1:24" s="561" customFormat="1" hidden="1">
      <c r="B44" s="1713"/>
      <c r="C44" s="1840" t="s">
        <v>1806</v>
      </c>
      <c r="D44" s="683">
        <v>0.13514169600000001</v>
      </c>
      <c r="E44" s="1729"/>
      <c r="F44" s="1839"/>
      <c r="G44" s="1839"/>
      <c r="H44" s="1730">
        <f>H37*D44</f>
        <v>22284.500787820798</v>
      </c>
      <c r="I44" s="1730"/>
      <c r="J44" s="683"/>
      <c r="K44" s="683"/>
      <c r="L44" s="1724"/>
      <c r="M44" s="1724"/>
      <c r="N44" s="683"/>
      <c r="O44" s="1724"/>
      <c r="P44" s="683"/>
      <c r="Q44" s="1838"/>
      <c r="R44" s="1726"/>
      <c r="S44" s="1731"/>
    </row>
    <row r="45" spans="1:24" s="561" customFormat="1" hidden="1">
      <c r="B45" s="1713"/>
      <c r="C45" s="1840" t="s">
        <v>1807</v>
      </c>
      <c r="D45" s="683">
        <v>2.5765203E-2</v>
      </c>
      <c r="E45" s="1729"/>
      <c r="F45" s="1839"/>
      <c r="G45" s="1839"/>
      <c r="H45" s="1730" t="e">
        <f>#REF!*D45</f>
        <v>#REF!</v>
      </c>
      <c r="I45" s="1730"/>
      <c r="J45" s="683"/>
      <c r="K45" s="683"/>
      <c r="L45" s="1724"/>
      <c r="M45" s="1724"/>
      <c r="N45" s="683"/>
      <c r="O45" s="1724"/>
      <c r="P45" s="683"/>
      <c r="Q45" s="1838"/>
      <c r="R45" s="1726"/>
      <c r="S45" s="1731"/>
    </row>
    <row r="46" spans="1:24" s="561" customFormat="1" hidden="1">
      <c r="B46" s="1713"/>
      <c r="C46" s="1840" t="s">
        <v>1808</v>
      </c>
      <c r="D46" s="683">
        <v>5.4089901000000003E-2</v>
      </c>
      <c r="E46" s="1729"/>
      <c r="F46" s="1839"/>
      <c r="G46" s="1839"/>
      <c r="H46" s="1730" t="e">
        <f>#REF!*D46</f>
        <v>#REF!</v>
      </c>
      <c r="I46" s="1730"/>
      <c r="J46" s="683"/>
      <c r="K46" s="683"/>
      <c r="L46" s="1724"/>
      <c r="M46" s="1724"/>
      <c r="N46" s="683"/>
      <c r="O46" s="1724"/>
      <c r="P46" s="683"/>
      <c r="Q46" s="1838"/>
      <c r="R46" s="1726"/>
      <c r="S46" s="1731"/>
    </row>
    <row r="47" spans="1:24" s="561" customFormat="1" hidden="1">
      <c r="B47" s="1713"/>
      <c r="C47" s="1840" t="s">
        <v>1809</v>
      </c>
      <c r="D47" s="683">
        <v>1.4803359E-2</v>
      </c>
      <c r="E47" s="1729"/>
      <c r="F47" s="1839"/>
      <c r="G47" s="1839"/>
      <c r="H47" s="1730" t="e">
        <f>#REF!*D47</f>
        <v>#REF!</v>
      </c>
      <c r="I47" s="1730"/>
      <c r="J47" s="683"/>
      <c r="K47" s="683"/>
      <c r="L47" s="1724"/>
      <c r="M47" s="1724"/>
      <c r="N47" s="683"/>
      <c r="O47" s="1724"/>
      <c r="P47" s="683"/>
      <c r="Q47" s="1838"/>
      <c r="R47" s="1726"/>
      <c r="S47" s="1731"/>
    </row>
    <row r="48" spans="1:24" s="561" customFormat="1" hidden="1">
      <c r="B48" s="1713"/>
      <c r="C48" s="1840" t="s">
        <v>1810</v>
      </c>
      <c r="D48" s="683">
        <v>3.2312274000000002E-2</v>
      </c>
      <c r="E48" s="1729"/>
      <c r="F48" s="1839"/>
      <c r="G48" s="1839"/>
      <c r="H48" s="1730" t="e">
        <f>#REF!*D48</f>
        <v>#REF!</v>
      </c>
      <c r="I48" s="1730"/>
      <c r="J48" s="683"/>
      <c r="K48" s="683"/>
      <c r="L48" s="1724"/>
      <c r="M48" s="1724"/>
      <c r="N48" s="683"/>
      <c r="O48" s="1724"/>
      <c r="P48" s="683"/>
      <c r="Q48" s="1838"/>
      <c r="R48" s="1726"/>
      <c r="S48" s="1731"/>
    </row>
    <row r="49" spans="2:19" s="561" customFormat="1" hidden="1">
      <c r="B49" s="1713"/>
      <c r="C49" s="1840" t="s">
        <v>1811</v>
      </c>
      <c r="D49" s="683"/>
      <c r="E49" s="1729"/>
      <c r="F49" s="1839"/>
      <c r="G49" s="1839"/>
      <c r="H49" s="1730"/>
      <c r="I49" s="1730"/>
      <c r="J49" s="683"/>
      <c r="K49" s="683"/>
      <c r="L49" s="1724"/>
      <c r="M49" s="1724"/>
      <c r="N49" s="683"/>
      <c r="O49" s="1724"/>
      <c r="P49" s="683"/>
      <c r="Q49" s="1838"/>
      <c r="R49" s="1726"/>
      <c r="S49" s="1731"/>
    </row>
    <row r="50" spans="2:19" s="561" customFormat="1" hidden="1">
      <c r="B50" s="1713"/>
      <c r="C50" s="1840" t="s">
        <v>1812</v>
      </c>
      <c r="D50" s="683"/>
      <c r="E50" s="1729"/>
      <c r="F50" s="1839"/>
      <c r="G50" s="1839"/>
      <c r="H50" s="1730"/>
      <c r="I50" s="1730"/>
      <c r="J50" s="683"/>
      <c r="K50" s="683"/>
      <c r="L50" s="1724"/>
      <c r="M50" s="1724"/>
      <c r="N50" s="683"/>
      <c r="O50" s="1724"/>
      <c r="P50" s="683"/>
      <c r="Q50" s="1838"/>
      <c r="R50" s="1726"/>
      <c r="S50" s="1731"/>
    </row>
    <row r="51" spans="2:19" s="561" customFormat="1" hidden="1">
      <c r="B51" s="1713"/>
      <c r="C51" s="1840" t="s">
        <v>1813</v>
      </c>
      <c r="D51" s="683"/>
      <c r="E51" s="1729"/>
      <c r="F51" s="1839"/>
      <c r="G51" s="1839"/>
      <c r="H51" s="1730"/>
      <c r="I51" s="1730"/>
      <c r="J51" s="683"/>
      <c r="K51" s="683"/>
      <c r="L51" s="1724"/>
      <c r="M51" s="1724"/>
      <c r="N51" s="683"/>
      <c r="O51" s="1724"/>
      <c r="P51" s="683"/>
      <c r="Q51" s="1838"/>
      <c r="R51" s="1726"/>
      <c r="S51" s="1731"/>
    </row>
    <row r="52" spans="2:19" s="561" customFormat="1" hidden="1">
      <c r="B52" s="1713"/>
      <c r="C52" s="1840" t="s">
        <v>1814</v>
      </c>
      <c r="D52" s="683"/>
      <c r="E52" s="1729"/>
      <c r="F52" s="1839"/>
      <c r="G52" s="1839"/>
      <c r="H52" s="1730"/>
      <c r="I52" s="1730"/>
      <c r="J52" s="683"/>
      <c r="K52" s="683"/>
      <c r="L52" s="1724"/>
      <c r="M52" s="1724"/>
      <c r="N52" s="683"/>
      <c r="O52" s="1724"/>
      <c r="P52" s="683"/>
      <c r="Q52" s="1838"/>
      <c r="R52" s="1726"/>
      <c r="S52" s="1731"/>
    </row>
    <row r="53" spans="2:19" s="561" customFormat="1" hidden="1">
      <c r="B53" s="1713"/>
      <c r="C53" s="1840" t="s">
        <v>1815</v>
      </c>
      <c r="D53" s="683"/>
      <c r="E53" s="1729"/>
      <c r="F53" s="1839"/>
      <c r="G53" s="1839"/>
      <c r="H53" s="1730"/>
      <c r="I53" s="1730"/>
      <c r="J53" s="683"/>
      <c r="K53" s="683"/>
      <c r="L53" s="1724"/>
      <c r="M53" s="1724"/>
      <c r="N53" s="683"/>
      <c r="O53" s="1724"/>
      <c r="P53" s="683"/>
      <c r="Q53" s="1838"/>
      <c r="R53" s="1726"/>
      <c r="S53" s="1731"/>
    </row>
    <row r="54" spans="2:19" s="561" customFormat="1" hidden="1">
      <c r="B54" s="1713"/>
      <c r="C54" s="1840" t="s">
        <v>1816</v>
      </c>
      <c r="D54" s="683"/>
      <c r="E54" s="1729"/>
      <c r="F54" s="1839"/>
      <c r="G54" s="1839"/>
      <c r="H54" s="1730"/>
      <c r="I54" s="1730"/>
      <c r="J54" s="683"/>
      <c r="K54" s="683"/>
      <c r="L54" s="1724"/>
      <c r="M54" s="1724"/>
      <c r="N54" s="683"/>
      <c r="O54" s="1724"/>
      <c r="P54" s="683"/>
      <c r="Q54" s="1838"/>
      <c r="R54" s="1726"/>
      <c r="S54" s="1731"/>
    </row>
    <row r="55" spans="2:19" s="561" customFormat="1" ht="10.199999999999999" hidden="1">
      <c r="B55" s="1841"/>
      <c r="C55" s="1841"/>
      <c r="D55" s="1842"/>
      <c r="E55" s="1843"/>
      <c r="F55" s="1843"/>
      <c r="G55" s="1843"/>
      <c r="H55" s="1843"/>
      <c r="I55" s="1843"/>
      <c r="J55" s="1844"/>
      <c r="K55" s="1845"/>
      <c r="L55" s="1844"/>
      <c r="M55" s="1845"/>
      <c r="N55" s="1844"/>
      <c r="O55" s="1845"/>
      <c r="P55" s="1848"/>
      <c r="Q55" s="1849"/>
      <c r="R55" s="1849"/>
      <c r="S55" s="1850"/>
    </row>
    <row r="56" spans="2:19" s="561" customFormat="1" ht="10.199999999999999">
      <c r="D56" s="1173"/>
      <c r="E56" s="562"/>
      <c r="F56" s="562"/>
      <c r="G56" s="562"/>
      <c r="H56" s="562"/>
      <c r="I56" s="562"/>
      <c r="J56" s="1173"/>
      <c r="K56" s="1173"/>
      <c r="L56" s="1173"/>
      <c r="M56" s="1173"/>
      <c r="N56" s="1173"/>
      <c r="O56" s="1173"/>
      <c r="P56" s="1173"/>
      <c r="R56" s="562"/>
    </row>
    <row r="57" spans="2:19" s="18" customFormat="1" ht="13.8">
      <c r="D57" s="97"/>
      <c r="E57" s="26"/>
      <c r="F57" s="26"/>
      <c r="G57" s="26"/>
      <c r="I57" s="1981">
        <f>I37-H37</f>
        <v>109.20000000001164</v>
      </c>
      <c r="J57" s="1208"/>
      <c r="K57" s="97"/>
      <c r="L57" s="1351"/>
      <c r="M57" s="524"/>
      <c r="N57" s="524"/>
      <c r="O57" s="524"/>
      <c r="P57" s="524"/>
      <c r="R57" s="26"/>
    </row>
    <row r="58" spans="2:19" s="18" customFormat="1">
      <c r="D58" s="97"/>
      <c r="E58" s="26"/>
      <c r="F58" s="26"/>
      <c r="G58" s="26"/>
      <c r="H58" s="26"/>
      <c r="I58" s="26"/>
      <c r="J58" s="1208"/>
      <c r="K58" s="1853"/>
      <c r="L58" s="1351"/>
      <c r="M58" s="1734"/>
      <c r="N58" s="524"/>
      <c r="O58" s="524"/>
      <c r="P58" s="524"/>
      <c r="R58" s="26"/>
    </row>
    <row r="59" spans="2:19" s="18" customFormat="1">
      <c r="D59" s="1736"/>
      <c r="E59" s="26"/>
      <c r="F59" s="26"/>
      <c r="G59" s="26"/>
      <c r="H59" s="26">
        <v>15398736.550000001</v>
      </c>
      <c r="I59" s="26"/>
      <c r="J59" s="1209"/>
      <c r="K59" s="1982"/>
      <c r="L59" s="1351"/>
      <c r="M59" s="524"/>
      <c r="N59" s="1983">
        <v>50558.33</v>
      </c>
      <c r="O59" s="524"/>
      <c r="P59" s="524"/>
      <c r="S59" s="200"/>
    </row>
    <row r="60" spans="2:19" s="18" customFormat="1">
      <c r="D60" s="97"/>
      <c r="E60" s="26"/>
      <c r="F60" s="26"/>
      <c r="G60" s="26"/>
      <c r="H60" s="26"/>
      <c r="I60" s="26"/>
      <c r="J60" s="1209"/>
      <c r="K60" s="1853"/>
      <c r="L60" s="1351"/>
      <c r="M60" s="524"/>
      <c r="N60" s="524">
        <v>50558.33</v>
      </c>
      <c r="O60" s="524"/>
      <c r="P60" s="524"/>
      <c r="R60" s="26"/>
    </row>
    <row r="61" spans="2:19" s="18" customFormat="1">
      <c r="D61" s="1216"/>
      <c r="E61" s="1216"/>
      <c r="F61" s="1216"/>
      <c r="G61" s="1216"/>
      <c r="H61" s="26">
        <f>+H59-H37</f>
        <v>15233839.25</v>
      </c>
      <c r="I61" s="26"/>
      <c r="J61" s="1209"/>
      <c r="K61" s="1322"/>
      <c r="L61" s="1351"/>
      <c r="M61" s="524"/>
      <c r="N61" s="524"/>
      <c r="O61" s="524"/>
      <c r="P61" s="524"/>
    </row>
    <row r="62" spans="2:19">
      <c r="H62" s="1741"/>
      <c r="I62" s="1741"/>
      <c r="J62" s="1741"/>
      <c r="K62" s="1322"/>
      <c r="M62" s="1743"/>
      <c r="N62" s="1743"/>
      <c r="O62" s="1743"/>
      <c r="P62" s="1743"/>
      <c r="Q62" s="1743"/>
    </row>
    <row r="63" spans="2:19">
      <c r="H63" s="1741"/>
      <c r="I63" s="1741"/>
      <c r="J63" s="1741"/>
      <c r="K63" s="1322"/>
      <c r="L63" s="1231"/>
      <c r="M63" s="1743"/>
      <c r="N63" s="1743"/>
      <c r="O63" s="1743"/>
      <c r="P63" s="1743"/>
      <c r="Q63" s="1743"/>
    </row>
    <row r="64" spans="2:19">
      <c r="H64" s="1741"/>
      <c r="I64" s="1741"/>
      <c r="J64" s="1741"/>
      <c r="K64" s="1323"/>
      <c r="L64" s="1231"/>
      <c r="M64" s="1743"/>
      <c r="N64" s="1743"/>
      <c r="O64" s="1743"/>
      <c r="P64" s="1743"/>
      <c r="Q64" s="1743"/>
    </row>
    <row r="65" spans="4:17" ht="15.6">
      <c r="D65" s="1237"/>
      <c r="H65" s="1741"/>
      <c r="I65" s="1741"/>
      <c r="J65" s="1741"/>
      <c r="K65" s="1302"/>
      <c r="L65" s="1231"/>
      <c r="M65" s="1743"/>
      <c r="N65" s="1743"/>
      <c r="O65" s="1743"/>
      <c r="P65" s="1743"/>
      <c r="Q65" s="1743"/>
    </row>
    <row r="66" spans="4:17">
      <c r="H66" s="1741"/>
      <c r="I66" s="1741"/>
      <c r="J66" s="1741"/>
      <c r="K66" s="18"/>
      <c r="L66" s="1231"/>
      <c r="M66" s="1743"/>
      <c r="N66" s="1743"/>
      <c r="O66" s="1743"/>
      <c r="P66" s="1743"/>
      <c r="Q66" s="1743"/>
    </row>
    <row r="67" spans="4:17">
      <c r="H67" s="1741"/>
      <c r="I67" s="1741"/>
      <c r="J67" s="1741"/>
      <c r="K67" s="1741"/>
      <c r="L67" s="1231"/>
      <c r="M67" s="1743"/>
      <c r="N67" s="1743"/>
      <c r="O67" s="1743"/>
      <c r="P67" s="1743"/>
      <c r="Q67" s="1743"/>
    </row>
    <row r="68" spans="4:17">
      <c r="H68" s="1741"/>
      <c r="I68" s="1741"/>
      <c r="J68" s="1741"/>
      <c r="K68" s="1741"/>
      <c r="L68" s="1231"/>
      <c r="M68" s="1743"/>
      <c r="N68" s="1743"/>
      <c r="O68" s="1743"/>
      <c r="P68" s="1743"/>
      <c r="Q68" s="1743"/>
    </row>
    <row r="69" spans="4:17">
      <c r="H69" s="1741"/>
      <c r="I69" s="1741"/>
      <c r="J69" s="1741"/>
      <c r="K69" s="1741"/>
      <c r="L69" s="1231"/>
      <c r="M69" s="1743"/>
      <c r="N69" s="1743"/>
      <c r="O69" s="1743"/>
      <c r="P69" s="1743"/>
      <c r="Q69" s="1743"/>
    </row>
    <row r="70" spans="4:17">
      <c r="H70" s="1741"/>
      <c r="I70" s="1741"/>
      <c r="J70" s="1741"/>
      <c r="K70" s="1741"/>
      <c r="L70" s="1231"/>
      <c r="M70" s="1743"/>
      <c r="N70" s="1743"/>
      <c r="O70" s="1743"/>
      <c r="P70" s="1743"/>
      <c r="Q70" s="1743"/>
    </row>
    <row r="71" spans="4:17">
      <c r="H71" s="1741"/>
      <c r="I71" s="1741"/>
      <c r="J71" s="1741"/>
      <c r="K71" s="1741"/>
      <c r="L71" s="1231"/>
      <c r="M71" s="1743"/>
      <c r="N71" s="1743"/>
      <c r="O71" s="1743"/>
      <c r="P71" s="1743"/>
      <c r="Q71" s="1743"/>
    </row>
    <row r="72" spans="4:17">
      <c r="H72" s="1741"/>
      <c r="I72" s="1741"/>
      <c r="J72" s="1741"/>
      <c r="K72" s="1745"/>
      <c r="L72" s="1231"/>
      <c r="M72" s="1743"/>
      <c r="N72" s="1743"/>
      <c r="O72" s="1743"/>
      <c r="P72" s="1743"/>
      <c r="Q72" s="1743"/>
    </row>
    <row r="73" spans="4:17">
      <c r="H73" s="1741"/>
      <c r="I73" s="1741"/>
      <c r="J73" s="1741"/>
      <c r="K73" s="1741"/>
      <c r="L73" s="1231"/>
      <c r="M73" s="1743"/>
      <c r="N73" s="1743"/>
      <c r="O73" s="1743"/>
      <c r="P73" s="1743"/>
      <c r="Q73" s="1743"/>
    </row>
  </sheetData>
  <autoFilter ref="A14:S39"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A10" zoomScale="85" zoomScaleNormal="70" zoomScaleSheetLayoutView="85" workbookViewId="0">
      <pane ySplit="1332" activePane="bottomLeft"/>
      <selection activeCell="C10" sqref="C10"/>
      <selection pane="bottomLeft" activeCell="I5" sqref="I5"/>
    </sheetView>
  </sheetViews>
  <sheetFormatPr baseColWidth="10" defaultRowHeight="13.2"/>
  <cols>
    <col min="1" max="1" width="2.5546875" style="1215" customWidth="1"/>
    <col min="2" max="2" width="10.109375" style="1215" customWidth="1"/>
    <col min="3" max="3" width="64.44140625" style="1225" customWidth="1"/>
    <col min="4" max="4" width="10.5546875" style="1218" customWidth="1"/>
    <col min="5" max="5" width="12.88671875" style="1226" customWidth="1"/>
    <col min="6" max="7" width="13.44140625" style="1226" customWidth="1"/>
    <col min="8" max="8" width="15" style="1226" hidden="1" customWidth="1"/>
    <col min="9" max="9" width="15" style="1226" customWidth="1"/>
    <col min="10" max="10" width="12.5546875" style="1218" customWidth="1"/>
    <col min="11" max="11" width="16.44140625" style="1218" customWidth="1"/>
    <col min="12" max="12" width="12.44140625" style="1438" customWidth="1"/>
    <col min="13" max="13" width="14.88671875" style="1413" customWidth="1"/>
    <col min="14" max="14" width="12" style="1218" customWidth="1"/>
    <col min="15" max="15" width="16.44140625" style="1218" customWidth="1"/>
    <col min="16" max="16" width="13.44140625" style="1218" customWidth="1"/>
    <col min="17" max="17" width="12.44140625" style="1215" customWidth="1"/>
    <col min="18" max="18" width="13.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1:25" s="1764" customFormat="1" ht="15.6">
      <c r="B1" s="3003" t="s">
        <v>12</v>
      </c>
      <c r="C1" s="3003"/>
      <c r="D1" s="3003"/>
      <c r="E1" s="3003"/>
      <c r="F1" s="3003"/>
      <c r="G1" s="3003"/>
      <c r="H1" s="3003"/>
      <c r="I1" s="3003"/>
      <c r="J1" s="3003"/>
      <c r="K1" s="3003"/>
      <c r="L1" s="3003"/>
      <c r="M1" s="3003"/>
      <c r="N1" s="3003"/>
      <c r="O1" s="3003"/>
      <c r="P1" s="3003"/>
      <c r="Q1" s="3003"/>
      <c r="R1" s="3003"/>
      <c r="S1" s="3003"/>
      <c r="W1" s="1765"/>
    </row>
    <row r="2" spans="1:25" s="1764" customFormat="1" ht="15.6">
      <c r="B2" s="3003" t="s">
        <v>4325</v>
      </c>
      <c r="C2" s="3003"/>
      <c r="D2" s="3003"/>
      <c r="E2" s="3003"/>
      <c r="F2" s="3003"/>
      <c r="G2" s="3003"/>
      <c r="H2" s="3003"/>
      <c r="I2" s="3003"/>
      <c r="J2" s="3003"/>
      <c r="K2" s="3003"/>
      <c r="L2" s="3003"/>
      <c r="M2" s="3003"/>
      <c r="N2" s="3003"/>
      <c r="O2" s="3003"/>
      <c r="P2" s="3003"/>
      <c r="Q2" s="3003"/>
      <c r="R2" s="3003"/>
      <c r="S2" s="3003"/>
      <c r="W2" s="1765"/>
    </row>
    <row r="3" spans="1:25" s="1764" customFormat="1" ht="15.6">
      <c r="B3" s="3003" t="s">
        <v>4372</v>
      </c>
      <c r="C3" s="3003"/>
      <c r="D3" s="3003"/>
      <c r="E3" s="3003"/>
      <c r="F3" s="3003"/>
      <c r="G3" s="3003"/>
      <c r="H3" s="3003"/>
      <c r="I3" s="3003"/>
      <c r="J3" s="3003"/>
      <c r="K3" s="3003"/>
      <c r="L3" s="3003"/>
      <c r="M3" s="3003"/>
      <c r="N3" s="3003"/>
      <c r="O3" s="3003"/>
      <c r="P3" s="3003"/>
      <c r="Q3" s="3003"/>
      <c r="R3" s="3003"/>
      <c r="S3" s="3003"/>
      <c r="W3" s="1765"/>
    </row>
    <row r="4" spans="1:25" s="1231" customFormat="1" ht="28.35" customHeight="1">
      <c r="B4" s="1349"/>
      <c r="C4" s="1766" t="s">
        <v>6</v>
      </c>
      <c r="D4" s="1436" t="s">
        <v>4</v>
      </c>
      <c r="E4" s="3004" t="s">
        <v>2833</v>
      </c>
      <c r="F4" s="3004"/>
      <c r="G4" s="3004"/>
      <c r="H4" s="3004"/>
      <c r="I4" s="3004"/>
      <c r="J4" s="3004"/>
      <c r="K4" s="3004"/>
      <c r="L4" s="3004"/>
      <c r="M4" s="3004"/>
      <c r="N4" s="3004"/>
      <c r="O4" s="3004"/>
      <c r="P4" s="1435" t="s">
        <v>13</v>
      </c>
      <c r="Q4" s="1767"/>
      <c r="R4" s="3005">
        <f ca="1">TODAY()</f>
        <v>44559</v>
      </c>
      <c r="S4" s="3005"/>
    </row>
    <row r="5" spans="1:25" s="1231" customFormat="1">
      <c r="B5" s="1350"/>
      <c r="C5" s="1768" t="s">
        <v>5</v>
      </c>
      <c r="D5" s="1437" t="s">
        <v>4</v>
      </c>
      <c r="E5" s="1769" t="s">
        <v>533</v>
      </c>
      <c r="F5" s="1350"/>
      <c r="G5" s="1350"/>
      <c r="H5" s="1350"/>
      <c r="I5" s="1350"/>
      <c r="J5" s="1350"/>
      <c r="K5" s="1349"/>
      <c r="L5" s="1350"/>
      <c r="M5" s="1349"/>
      <c r="N5" s="1349"/>
      <c r="O5" s="1349"/>
      <c r="P5" s="1350" t="s">
        <v>14</v>
      </c>
      <c r="R5" s="1350"/>
      <c r="S5" s="1770" t="s">
        <v>536</v>
      </c>
    </row>
    <row r="6" spans="1:25" s="1231" customFormat="1">
      <c r="C6" s="1768" t="s">
        <v>15</v>
      </c>
      <c r="D6" s="1437" t="s">
        <v>4</v>
      </c>
      <c r="E6" s="1769" t="s">
        <v>3678</v>
      </c>
      <c r="J6" s="1349"/>
      <c r="K6" s="1349"/>
      <c r="L6" s="1349"/>
      <c r="M6" s="1349"/>
      <c r="N6" s="1349"/>
      <c r="O6" s="1349"/>
      <c r="P6" s="1350" t="s">
        <v>16</v>
      </c>
      <c r="S6" s="1770" t="s">
        <v>536</v>
      </c>
    </row>
    <row r="7" spans="1:25" s="1231" customFormat="1">
      <c r="C7" s="1768" t="s">
        <v>17</v>
      </c>
      <c r="D7" s="1437" t="s">
        <v>4</v>
      </c>
      <c r="E7" s="1769" t="s">
        <v>11</v>
      </c>
      <c r="J7" s="1349"/>
      <c r="K7" s="1349"/>
      <c r="L7" s="1349"/>
      <c r="M7" s="1437"/>
      <c r="N7" s="1437"/>
      <c r="O7" s="1349"/>
      <c r="P7" s="1350" t="s">
        <v>18</v>
      </c>
      <c r="R7" s="1771"/>
      <c r="S7" s="1770" t="s">
        <v>10</v>
      </c>
    </row>
    <row r="8" spans="1:25" s="1231" customFormat="1">
      <c r="C8" s="1768" t="s">
        <v>19</v>
      </c>
      <c r="D8" s="1437" t="s">
        <v>4</v>
      </c>
      <c r="E8" s="1772">
        <v>2021</v>
      </c>
      <c r="J8" s="1349"/>
      <c r="K8" s="1349"/>
      <c r="L8" s="1349"/>
      <c r="M8" s="1349"/>
      <c r="N8" s="1437"/>
      <c r="O8" s="1773"/>
      <c r="P8" s="1349"/>
    </row>
    <row r="9" spans="1:25" s="1231" customFormat="1" ht="13.8" thickBot="1">
      <c r="C9" s="1774"/>
      <c r="D9" s="1349"/>
      <c r="E9" s="1230"/>
      <c r="F9" s="1230"/>
      <c r="G9" s="1230"/>
      <c r="H9" s="1230"/>
      <c r="I9" s="1230"/>
      <c r="J9" s="1349"/>
      <c r="K9" s="1349"/>
      <c r="L9" s="1349"/>
      <c r="M9" s="1349"/>
      <c r="N9" s="1349"/>
      <c r="O9" s="1349"/>
      <c r="P9" s="1349"/>
      <c r="W9" s="1349"/>
    </row>
    <row r="10" spans="1:25" ht="13.8" thickBot="1">
      <c r="B10" s="2869" t="s">
        <v>20</v>
      </c>
      <c r="C10" s="2869" t="s">
        <v>21</v>
      </c>
      <c r="D10" s="2978" t="s">
        <v>22</v>
      </c>
      <c r="E10" s="2982" t="s">
        <v>23</v>
      </c>
      <c r="F10" s="2983"/>
      <c r="G10" s="2983"/>
      <c r="H10" s="2984"/>
      <c r="I10" s="1608"/>
      <c r="J10" s="2988" t="s">
        <v>24</v>
      </c>
      <c r="K10" s="2990"/>
      <c r="L10" s="3006"/>
      <c r="M10" s="3007"/>
      <c r="N10" s="2990"/>
      <c r="O10" s="2990"/>
      <c r="P10" s="2989"/>
      <c r="Q10" s="2982" t="s">
        <v>25</v>
      </c>
      <c r="R10" s="2983"/>
      <c r="S10" s="2984"/>
    </row>
    <row r="11" spans="1:25" ht="13.8" thickBot="1">
      <c r="B11" s="2870"/>
      <c r="C11" s="2870"/>
      <c r="D11" s="3000"/>
      <c r="E11" s="2985"/>
      <c r="F11" s="2986"/>
      <c r="G11" s="2986"/>
      <c r="H11" s="2987"/>
      <c r="I11" s="1609"/>
      <c r="J11" s="2988" t="s">
        <v>26</v>
      </c>
      <c r="K11" s="2989"/>
      <c r="L11" s="2988" t="s">
        <v>27</v>
      </c>
      <c r="M11" s="2989"/>
      <c r="N11" s="2988" t="s">
        <v>28</v>
      </c>
      <c r="O11" s="2990"/>
      <c r="P11" s="2989"/>
      <c r="Q11" s="2985"/>
      <c r="R11" s="2986"/>
      <c r="S11" s="2987"/>
    </row>
    <row r="12" spans="1:25" ht="13.8" thickBot="1">
      <c r="B12" s="2870"/>
      <c r="C12" s="2870"/>
      <c r="D12" s="3000"/>
      <c r="E12" s="2869" t="s">
        <v>29</v>
      </c>
      <c r="F12" s="2869" t="s">
        <v>30</v>
      </c>
      <c r="G12" s="2993" t="s">
        <v>3945</v>
      </c>
      <c r="H12" s="3001" t="s">
        <v>3944</v>
      </c>
      <c r="I12" s="2993" t="s">
        <v>3946</v>
      </c>
      <c r="J12" s="2869" t="s">
        <v>3</v>
      </c>
      <c r="K12" s="2869" t="s">
        <v>32</v>
      </c>
      <c r="L12" s="2869" t="s">
        <v>3</v>
      </c>
      <c r="M12" s="2869" t="s">
        <v>32</v>
      </c>
      <c r="N12" s="2869" t="s">
        <v>3</v>
      </c>
      <c r="O12" s="2869" t="s">
        <v>32</v>
      </c>
      <c r="P12" s="2869" t="s">
        <v>0</v>
      </c>
      <c r="Q12" s="2869" t="s">
        <v>3</v>
      </c>
      <c r="R12" s="2995" t="s">
        <v>32</v>
      </c>
      <c r="S12" s="2869" t="s">
        <v>0</v>
      </c>
      <c r="W12" s="2972" t="s">
        <v>3624</v>
      </c>
      <c r="X12" s="2973"/>
      <c r="Y12" s="2974"/>
    </row>
    <row r="13" spans="1:25" ht="13.8" thickBot="1">
      <c r="B13" s="2871"/>
      <c r="C13" s="2871"/>
      <c r="D13" s="2979"/>
      <c r="E13" s="2871"/>
      <c r="F13" s="2871"/>
      <c r="G13" s="2994"/>
      <c r="H13" s="3002"/>
      <c r="I13" s="2994"/>
      <c r="J13" s="2871"/>
      <c r="K13" s="2871"/>
      <c r="L13" s="2871"/>
      <c r="M13" s="2871"/>
      <c r="N13" s="2871"/>
      <c r="O13" s="2871"/>
      <c r="P13" s="2871"/>
      <c r="Q13" s="2871"/>
      <c r="R13" s="2996"/>
      <c r="S13" s="2871"/>
    </row>
    <row r="14" spans="1:25" ht="9" customHeight="1" thickBot="1">
      <c r="B14" s="1357"/>
      <c r="C14" s="1358"/>
      <c r="D14" s="1359"/>
      <c r="E14" s="1357"/>
      <c r="F14" s="1358"/>
      <c r="G14" s="1358"/>
      <c r="H14" s="1607"/>
      <c r="I14" s="1358"/>
      <c r="J14" s="1357"/>
      <c r="K14" s="1359"/>
      <c r="L14" s="1359"/>
      <c r="M14" s="1359"/>
      <c r="N14" s="1357"/>
      <c r="O14" s="1358"/>
      <c r="P14" s="1607"/>
      <c r="Q14" s="1357"/>
      <c r="R14" s="1775"/>
      <c r="S14" s="1607"/>
    </row>
    <row r="15" spans="1:25" s="1653" customFormat="1" ht="28.5" customHeight="1">
      <c r="A15" s="1653" t="s">
        <v>3630</v>
      </c>
      <c r="B15" s="1776" t="s">
        <v>33</v>
      </c>
      <c r="C15" s="1777" t="s">
        <v>1132</v>
      </c>
      <c r="D15" s="1778"/>
      <c r="E15" s="1779"/>
      <c r="F15" s="1779"/>
      <c r="G15" s="1780"/>
      <c r="H15" s="1781"/>
      <c r="I15" s="1782"/>
      <c r="J15" s="1783"/>
      <c r="K15" s="1784"/>
      <c r="L15" s="1785"/>
      <c r="M15" s="1786"/>
      <c r="N15" s="1787"/>
      <c r="O15" s="1788"/>
      <c r="P15" s="1789"/>
      <c r="Q15" s="1787"/>
      <c r="R15" s="1790"/>
      <c r="S15" s="1791"/>
      <c r="T15" s="1650"/>
      <c r="U15" s="1650"/>
      <c r="V15" s="1650"/>
      <c r="W15" s="1651" t="s">
        <v>3625</v>
      </c>
      <c r="X15" s="1429"/>
      <c r="Y15" s="1652">
        <f>SUM(M17:M59)</f>
        <v>0</v>
      </c>
    </row>
    <row r="16" spans="1:25" s="1429" customFormat="1" ht="13.8">
      <c r="B16" s="1792" t="s">
        <v>35</v>
      </c>
      <c r="C16" s="1792" t="s">
        <v>2851</v>
      </c>
      <c r="D16" s="1793"/>
      <c r="E16" s="1794"/>
      <c r="F16" s="1794"/>
      <c r="G16" s="1795"/>
      <c r="H16" s="1796"/>
      <c r="I16" s="1797"/>
      <c r="J16" s="1798"/>
      <c r="K16" s="1799"/>
      <c r="L16" s="1800"/>
      <c r="M16" s="1801"/>
      <c r="N16" s="1802"/>
      <c r="O16" s="1803"/>
      <c r="P16" s="1801" t="str">
        <f t="shared" ref="P16:P26" si="0">+IF(D16=0,"",O16/H16)</f>
        <v/>
      </c>
      <c r="Q16" s="1802"/>
      <c r="R16" s="1803"/>
      <c r="S16" s="1804"/>
      <c r="T16" s="1652"/>
      <c r="U16" s="1652"/>
      <c r="V16" s="1652"/>
      <c r="W16" s="1651" t="s">
        <v>3626</v>
      </c>
      <c r="Y16" s="1665" t="e">
        <f>SUM(#REF!)</f>
        <v>#REF!</v>
      </c>
    </row>
    <row r="17" spans="1:27" s="1417" customFormat="1" ht="13.8">
      <c r="B17" s="1805" t="s">
        <v>537</v>
      </c>
      <c r="C17" s="1806" t="s">
        <v>3947</v>
      </c>
      <c r="D17" s="1425" t="s">
        <v>37</v>
      </c>
      <c r="E17" s="1807">
        <v>738.23</v>
      </c>
      <c r="F17" s="1807">
        <v>13.58</v>
      </c>
      <c r="G17" s="1808">
        <v>13.68</v>
      </c>
      <c r="H17" s="1809">
        <f>ROUND(E17*F17,2)</f>
        <v>10025.16</v>
      </c>
      <c r="I17" s="1809">
        <f>ROUND(E17*G17,2)</f>
        <v>10098.99</v>
      </c>
      <c r="J17" s="1794">
        <v>738.23</v>
      </c>
      <c r="K17" s="1232">
        <f>J17*G17</f>
        <v>10098.9864</v>
      </c>
      <c r="L17" s="1810">
        <v>0</v>
      </c>
      <c r="M17" s="1811">
        <f>L17*G17</f>
        <v>0</v>
      </c>
      <c r="N17" s="1425">
        <f>J17+L17</f>
        <v>738.23</v>
      </c>
      <c r="O17" s="1366">
        <f>N17*G17</f>
        <v>10098.9864</v>
      </c>
      <c r="P17" s="1812">
        <f>+IF(D17=0,"",O17/I17)</f>
        <v>0.99999964352870929</v>
      </c>
      <c r="Q17" s="1427">
        <f t="shared" ref="Q17:Q25" si="1">E17-N17</f>
        <v>0</v>
      </c>
      <c r="R17" s="1234">
        <f>ROUND((Q17*G17),2)</f>
        <v>0</v>
      </c>
      <c r="S17" s="1428">
        <f>+IF(I17=0,"",R17/I17)</f>
        <v>0</v>
      </c>
      <c r="T17" s="1423">
        <f>+R17+O17</f>
        <v>10098.9864</v>
      </c>
      <c r="U17" s="1423">
        <f t="shared" ref="U17:U59" si="2">+H17</f>
        <v>10025.16</v>
      </c>
      <c r="V17" s="1423">
        <f>+U17-T17</f>
        <v>-73.826399999999921</v>
      </c>
      <c r="W17" s="1434" t="s">
        <v>1234</v>
      </c>
      <c r="Y17" s="1424" t="e">
        <f>SUM(#REF!)</f>
        <v>#REF!</v>
      </c>
    </row>
    <row r="18" spans="1:27" s="1416" customFormat="1" ht="13.8">
      <c r="B18" s="1805" t="s">
        <v>538</v>
      </c>
      <c r="C18" s="1806" t="s">
        <v>3948</v>
      </c>
      <c r="D18" s="1425" t="s">
        <v>40</v>
      </c>
      <c r="E18" s="1807">
        <v>32.840000000000003</v>
      </c>
      <c r="F18" s="1807">
        <v>33.950000000000003</v>
      </c>
      <c r="G18" s="1808">
        <v>34.200000000000003</v>
      </c>
      <c r="H18" s="1809">
        <f t="shared" ref="H18:H59" si="3">ROUND(E18*F18,2)</f>
        <v>1114.92</v>
      </c>
      <c r="I18" s="1809">
        <f t="shared" ref="I18:I59" si="4">ROUND(E18*G18,2)</f>
        <v>1123.1300000000001</v>
      </c>
      <c r="J18" s="1794">
        <v>32.840000000000003</v>
      </c>
      <c r="K18" s="1232">
        <f t="shared" ref="K18:K25" si="5">J18*G18</f>
        <v>1123.1280000000002</v>
      </c>
      <c r="L18" s="1810">
        <v>0</v>
      </c>
      <c r="M18" s="1811">
        <f t="shared" ref="M18:M25" si="6">L18*G18</f>
        <v>0</v>
      </c>
      <c r="N18" s="1425">
        <f t="shared" ref="N18:N25" si="7">J18+L18</f>
        <v>32.840000000000003</v>
      </c>
      <c r="O18" s="1366">
        <f t="shared" ref="O18:O25" si="8">N18*G18</f>
        <v>1123.1280000000002</v>
      </c>
      <c r="P18" s="1812">
        <f t="shared" ref="P18:P25" si="9">+IF(D18=0,"",O18/I18)</f>
        <v>0.99999821926224042</v>
      </c>
      <c r="Q18" s="1427">
        <f t="shared" si="1"/>
        <v>0</v>
      </c>
      <c r="R18" s="1234">
        <f t="shared" ref="R18:R25" si="10">ROUND((Q18*G18),2)</f>
        <v>0</v>
      </c>
      <c r="S18" s="1428">
        <f t="shared" ref="S18:S25" si="11">+IF(I18=0,"",R18/I18)</f>
        <v>0</v>
      </c>
      <c r="T18" s="1423">
        <f t="shared" ref="T18:T59" si="12">+R18+O18</f>
        <v>1123.1280000000002</v>
      </c>
      <c r="U18" s="1423">
        <f t="shared" si="2"/>
        <v>1114.92</v>
      </c>
      <c r="V18" s="1423">
        <f t="shared" ref="V18:V59" si="13">+U18-T18</f>
        <v>-8.2080000000000837</v>
      </c>
      <c r="W18" s="1434" t="s">
        <v>3627</v>
      </c>
      <c r="X18" s="1417"/>
      <c r="Y18" s="1424" t="e">
        <f>SUM(#REF!)</f>
        <v>#REF!</v>
      </c>
    </row>
    <row r="19" spans="1:27" s="1416" customFormat="1" ht="13.8">
      <c r="B19" s="1805" t="s">
        <v>539</v>
      </c>
      <c r="C19" s="1806" t="s">
        <v>3949</v>
      </c>
      <c r="D19" s="1425" t="s">
        <v>40</v>
      </c>
      <c r="E19" s="1807">
        <v>26.84</v>
      </c>
      <c r="F19" s="1807">
        <v>33.950000000000003</v>
      </c>
      <c r="G19" s="1808">
        <v>34.200000000000003</v>
      </c>
      <c r="H19" s="1809">
        <f t="shared" si="3"/>
        <v>911.22</v>
      </c>
      <c r="I19" s="1809">
        <f t="shared" si="4"/>
        <v>917.93</v>
      </c>
      <c r="J19" s="1794">
        <v>26.84</v>
      </c>
      <c r="K19" s="1232">
        <f t="shared" si="5"/>
        <v>917.92800000000011</v>
      </c>
      <c r="L19" s="1810">
        <v>0</v>
      </c>
      <c r="M19" s="1811">
        <f t="shared" si="6"/>
        <v>0</v>
      </c>
      <c r="N19" s="1425">
        <f t="shared" si="7"/>
        <v>26.84</v>
      </c>
      <c r="O19" s="1366">
        <f t="shared" si="8"/>
        <v>917.92800000000011</v>
      </c>
      <c r="P19" s="1812">
        <f t="shared" si="9"/>
        <v>0.9999978211846221</v>
      </c>
      <c r="Q19" s="1427">
        <f t="shared" si="1"/>
        <v>0</v>
      </c>
      <c r="R19" s="1234">
        <f t="shared" si="10"/>
        <v>0</v>
      </c>
      <c r="S19" s="1428">
        <f t="shared" si="11"/>
        <v>0</v>
      </c>
      <c r="T19" s="1423">
        <f t="shared" si="12"/>
        <v>917.92800000000011</v>
      </c>
      <c r="U19" s="1423">
        <f t="shared" si="2"/>
        <v>911.22</v>
      </c>
      <c r="V19" s="1423">
        <f t="shared" si="13"/>
        <v>-6.7080000000000837</v>
      </c>
      <c r="W19" s="1434" t="s">
        <v>3628</v>
      </c>
      <c r="X19" s="1417"/>
      <c r="Y19" s="1424" t="e">
        <f>SUM(#REF!)</f>
        <v>#REF!</v>
      </c>
    </row>
    <row r="20" spans="1:27" s="1417" customFormat="1" ht="13.8">
      <c r="B20" s="1805" t="s">
        <v>540</v>
      </c>
      <c r="C20" s="1806" t="s">
        <v>3950</v>
      </c>
      <c r="D20" s="1425" t="s">
        <v>40</v>
      </c>
      <c r="E20" s="1807">
        <v>88.28</v>
      </c>
      <c r="F20" s="1807">
        <v>33.950000000000003</v>
      </c>
      <c r="G20" s="1808">
        <v>34.200000000000003</v>
      </c>
      <c r="H20" s="1809">
        <f t="shared" si="3"/>
        <v>2997.11</v>
      </c>
      <c r="I20" s="1809">
        <f t="shared" si="4"/>
        <v>3019.18</v>
      </c>
      <c r="J20" s="1794">
        <v>88.28</v>
      </c>
      <c r="K20" s="1232">
        <f t="shared" si="5"/>
        <v>3019.1760000000004</v>
      </c>
      <c r="L20" s="1810">
        <v>0</v>
      </c>
      <c r="M20" s="1811">
        <f t="shared" si="6"/>
        <v>0</v>
      </c>
      <c r="N20" s="1425">
        <f t="shared" si="7"/>
        <v>88.28</v>
      </c>
      <c r="O20" s="1366">
        <f t="shared" si="8"/>
        <v>3019.1760000000004</v>
      </c>
      <c r="P20" s="1812">
        <f t="shared" si="9"/>
        <v>0.99999867513695795</v>
      </c>
      <c r="Q20" s="1427">
        <f t="shared" si="1"/>
        <v>0</v>
      </c>
      <c r="R20" s="1234">
        <f t="shared" si="10"/>
        <v>0</v>
      </c>
      <c r="S20" s="1428">
        <f t="shared" si="11"/>
        <v>0</v>
      </c>
      <c r="T20" s="1423">
        <f t="shared" si="12"/>
        <v>3019.1760000000004</v>
      </c>
      <c r="U20" s="1423">
        <f t="shared" si="2"/>
        <v>2997.11</v>
      </c>
      <c r="V20" s="1423">
        <f t="shared" si="13"/>
        <v>-22.066000000000258</v>
      </c>
      <c r="W20" s="1434" t="s">
        <v>3629</v>
      </c>
      <c r="Y20" s="1424" t="e">
        <f>SUM(#REF!)</f>
        <v>#REF!</v>
      </c>
    </row>
    <row r="21" spans="1:27" s="1416" customFormat="1" ht="13.8">
      <c r="B21" s="1805" t="s">
        <v>541</v>
      </c>
      <c r="C21" s="1806" t="s">
        <v>3951</v>
      </c>
      <c r="D21" s="1425" t="s">
        <v>40</v>
      </c>
      <c r="E21" s="1807">
        <v>2.96</v>
      </c>
      <c r="F21" s="1807">
        <v>33.950000000000003</v>
      </c>
      <c r="G21" s="1808">
        <v>34.200000000000003</v>
      </c>
      <c r="H21" s="1809">
        <f t="shared" si="3"/>
        <v>100.49</v>
      </c>
      <c r="I21" s="1809">
        <f t="shared" si="4"/>
        <v>101.23</v>
      </c>
      <c r="J21" s="1794">
        <v>2.96</v>
      </c>
      <c r="K21" s="1232">
        <f t="shared" si="5"/>
        <v>101.23200000000001</v>
      </c>
      <c r="L21" s="1810">
        <v>0</v>
      </c>
      <c r="M21" s="1811">
        <f t="shared" si="6"/>
        <v>0</v>
      </c>
      <c r="N21" s="1425">
        <f t="shared" si="7"/>
        <v>2.96</v>
      </c>
      <c r="O21" s="1366">
        <f t="shared" si="8"/>
        <v>101.23200000000001</v>
      </c>
      <c r="P21" s="1812">
        <f t="shared" si="9"/>
        <v>1.000019756989035</v>
      </c>
      <c r="Q21" s="1427">
        <f t="shared" si="1"/>
        <v>0</v>
      </c>
      <c r="R21" s="1234">
        <f t="shared" si="10"/>
        <v>0</v>
      </c>
      <c r="S21" s="1428">
        <f t="shared" si="11"/>
        <v>0</v>
      </c>
      <c r="T21" s="1423">
        <f t="shared" si="12"/>
        <v>101.23200000000001</v>
      </c>
      <c r="U21" s="1423">
        <f t="shared" si="2"/>
        <v>100.49</v>
      </c>
      <c r="V21" s="1423">
        <f t="shared" si="13"/>
        <v>-0.74200000000001864</v>
      </c>
      <c r="W21" s="1435"/>
    </row>
    <row r="22" spans="1:27" s="1417" customFormat="1" ht="13.8">
      <c r="B22" s="1805" t="s">
        <v>3745</v>
      </c>
      <c r="C22" s="1806" t="s">
        <v>3952</v>
      </c>
      <c r="D22" s="1425" t="s">
        <v>40</v>
      </c>
      <c r="E22" s="1807">
        <v>30.86</v>
      </c>
      <c r="F22" s="1807">
        <v>33.950000000000003</v>
      </c>
      <c r="G22" s="1808">
        <v>34.200000000000003</v>
      </c>
      <c r="H22" s="1809">
        <f t="shared" si="3"/>
        <v>1047.7</v>
      </c>
      <c r="I22" s="1809">
        <f t="shared" si="4"/>
        <v>1055.4100000000001</v>
      </c>
      <c r="J22" s="1794">
        <v>30.86</v>
      </c>
      <c r="K22" s="1232">
        <f t="shared" si="5"/>
        <v>1055.412</v>
      </c>
      <c r="L22" s="1810">
        <v>0</v>
      </c>
      <c r="M22" s="1811">
        <f t="shared" si="6"/>
        <v>0</v>
      </c>
      <c r="N22" s="1425">
        <f t="shared" si="7"/>
        <v>30.86</v>
      </c>
      <c r="O22" s="1366">
        <f t="shared" si="8"/>
        <v>1055.412</v>
      </c>
      <c r="P22" s="1812">
        <f t="shared" si="9"/>
        <v>1.0000018949981524</v>
      </c>
      <c r="Q22" s="1427">
        <f t="shared" si="1"/>
        <v>0</v>
      </c>
      <c r="R22" s="1234">
        <f t="shared" si="10"/>
        <v>0</v>
      </c>
      <c r="S22" s="1428">
        <f t="shared" si="11"/>
        <v>0</v>
      </c>
      <c r="T22" s="1423">
        <f t="shared" si="12"/>
        <v>1055.412</v>
      </c>
      <c r="U22" s="1423">
        <f t="shared" si="2"/>
        <v>1047.7</v>
      </c>
      <c r="V22" s="1423">
        <f t="shared" si="13"/>
        <v>-7.7119999999999891</v>
      </c>
      <c r="W22" s="1434"/>
      <c r="X22" s="1416" t="s">
        <v>2</v>
      </c>
      <c r="Y22" s="1422" t="e">
        <f>SUM(Y15:Y21)</f>
        <v>#REF!</v>
      </c>
      <c r="Z22" s="1423">
        <f>+M60</f>
        <v>0</v>
      </c>
      <c r="AA22" s="1423" t="e">
        <f>+Y22-Z22</f>
        <v>#REF!</v>
      </c>
    </row>
    <row r="23" spans="1:27" s="1417" customFormat="1" ht="13.8">
      <c r="B23" s="1805" t="s">
        <v>3953</v>
      </c>
      <c r="C23" s="1806" t="s">
        <v>3954</v>
      </c>
      <c r="D23" s="1425" t="s">
        <v>40</v>
      </c>
      <c r="E23" s="1807">
        <v>32.130000000000003</v>
      </c>
      <c r="F23" s="1807">
        <v>33.950000000000003</v>
      </c>
      <c r="G23" s="1808">
        <v>34.200000000000003</v>
      </c>
      <c r="H23" s="1809">
        <f t="shared" si="3"/>
        <v>1090.81</v>
      </c>
      <c r="I23" s="1809">
        <f t="shared" si="4"/>
        <v>1098.8499999999999</v>
      </c>
      <c r="J23" s="1794">
        <v>32.130000000000003</v>
      </c>
      <c r="K23" s="1232">
        <f t="shared" si="5"/>
        <v>1098.8460000000002</v>
      </c>
      <c r="L23" s="1810">
        <v>0</v>
      </c>
      <c r="M23" s="1811">
        <f t="shared" si="6"/>
        <v>0</v>
      </c>
      <c r="N23" s="1425">
        <f t="shared" si="7"/>
        <v>32.130000000000003</v>
      </c>
      <c r="O23" s="1366">
        <f t="shared" si="8"/>
        <v>1098.8460000000002</v>
      </c>
      <c r="P23" s="1812">
        <f t="shared" si="9"/>
        <v>0.99999635983073243</v>
      </c>
      <c r="Q23" s="1427">
        <f t="shared" si="1"/>
        <v>0</v>
      </c>
      <c r="R23" s="1234">
        <f t="shared" si="10"/>
        <v>0</v>
      </c>
      <c r="S23" s="1428">
        <f t="shared" si="11"/>
        <v>0</v>
      </c>
      <c r="T23" s="1423">
        <f t="shared" si="12"/>
        <v>1098.8460000000002</v>
      </c>
      <c r="U23" s="1423">
        <f t="shared" si="2"/>
        <v>1090.81</v>
      </c>
      <c r="V23" s="1423">
        <f t="shared" si="13"/>
        <v>-8.0360000000002856</v>
      </c>
      <c r="W23" s="1434"/>
    </row>
    <row r="24" spans="1:27" s="1417" customFormat="1" ht="13.8">
      <c r="A24" s="1417" t="s">
        <v>3630</v>
      </c>
      <c r="B24" s="1805" t="s">
        <v>3955</v>
      </c>
      <c r="C24" s="1806" t="s">
        <v>3956</v>
      </c>
      <c r="D24" s="1425" t="s">
        <v>37</v>
      </c>
      <c r="E24" s="1807">
        <v>3444.69</v>
      </c>
      <c r="F24" s="1807">
        <v>13.58</v>
      </c>
      <c r="G24" s="1808">
        <v>13.68</v>
      </c>
      <c r="H24" s="1809">
        <f t="shared" si="3"/>
        <v>46778.89</v>
      </c>
      <c r="I24" s="1809">
        <f t="shared" si="4"/>
        <v>47123.360000000001</v>
      </c>
      <c r="J24" s="1794">
        <v>3444.69</v>
      </c>
      <c r="K24" s="1232">
        <f t="shared" si="5"/>
        <v>47123.359199999999</v>
      </c>
      <c r="L24" s="1810">
        <v>0</v>
      </c>
      <c r="M24" s="1811">
        <f t="shared" si="6"/>
        <v>0</v>
      </c>
      <c r="N24" s="1425">
        <f t="shared" si="7"/>
        <v>3444.69</v>
      </c>
      <c r="O24" s="1366">
        <f t="shared" si="8"/>
        <v>47123.359199999999</v>
      </c>
      <c r="P24" s="1812">
        <f t="shared" si="9"/>
        <v>0.99999998302328186</v>
      </c>
      <c r="Q24" s="1427">
        <f t="shared" si="1"/>
        <v>0</v>
      </c>
      <c r="R24" s="1234">
        <f t="shared" si="10"/>
        <v>0</v>
      </c>
      <c r="S24" s="1428">
        <f t="shared" si="11"/>
        <v>0</v>
      </c>
      <c r="T24" s="1423">
        <f t="shared" si="12"/>
        <v>47123.359199999999</v>
      </c>
      <c r="U24" s="1423">
        <f t="shared" si="2"/>
        <v>46778.89</v>
      </c>
      <c r="V24" s="1423">
        <f t="shared" si="13"/>
        <v>-344.46919999999955</v>
      </c>
      <c r="W24" s="1434"/>
    </row>
    <row r="25" spans="1:27" s="1417" customFormat="1" ht="13.8">
      <c r="A25" s="1417" t="s">
        <v>3630</v>
      </c>
      <c r="B25" s="1805" t="s">
        <v>3957</v>
      </c>
      <c r="C25" s="1806" t="s">
        <v>3958</v>
      </c>
      <c r="D25" s="1425" t="s">
        <v>40</v>
      </c>
      <c r="E25" s="1807">
        <v>105.22</v>
      </c>
      <c r="F25" s="1807">
        <v>33.950000000000003</v>
      </c>
      <c r="G25" s="1808">
        <v>34.200000000000003</v>
      </c>
      <c r="H25" s="1809">
        <f t="shared" si="3"/>
        <v>3572.22</v>
      </c>
      <c r="I25" s="1809">
        <f t="shared" si="4"/>
        <v>3598.52</v>
      </c>
      <c r="J25" s="1794">
        <v>105.22</v>
      </c>
      <c r="K25" s="1232">
        <f t="shared" si="5"/>
        <v>3598.5240000000003</v>
      </c>
      <c r="L25" s="1810">
        <v>0</v>
      </c>
      <c r="M25" s="1811">
        <f t="shared" si="6"/>
        <v>0</v>
      </c>
      <c r="N25" s="1425">
        <f t="shared" si="7"/>
        <v>105.22</v>
      </c>
      <c r="O25" s="1366">
        <f t="shared" si="8"/>
        <v>3598.5240000000003</v>
      </c>
      <c r="P25" s="1812">
        <f t="shared" si="9"/>
        <v>1.0000011115680891</v>
      </c>
      <c r="Q25" s="1427">
        <f t="shared" si="1"/>
        <v>0</v>
      </c>
      <c r="R25" s="1234">
        <f t="shared" si="10"/>
        <v>0</v>
      </c>
      <c r="S25" s="1428">
        <f t="shared" si="11"/>
        <v>0</v>
      </c>
      <c r="T25" s="1423">
        <f t="shared" si="12"/>
        <v>3598.5240000000003</v>
      </c>
      <c r="U25" s="1423">
        <f t="shared" si="2"/>
        <v>3572.22</v>
      </c>
      <c r="V25" s="1423">
        <f t="shared" si="13"/>
        <v>-26.304000000000542</v>
      </c>
      <c r="W25" s="1434"/>
    </row>
    <row r="26" spans="1:27" s="1429" customFormat="1" ht="13.8">
      <c r="B26" s="1792" t="s">
        <v>39</v>
      </c>
      <c r="C26" s="1792" t="s">
        <v>3959</v>
      </c>
      <c r="D26" s="1793"/>
      <c r="E26" s="1794"/>
      <c r="F26" s="1794"/>
      <c r="G26" s="1795"/>
      <c r="H26" s="1809">
        <f t="shared" si="3"/>
        <v>0</v>
      </c>
      <c r="I26" s="1809">
        <f t="shared" si="4"/>
        <v>0</v>
      </c>
      <c r="J26" s="1797"/>
      <c r="K26" s="1813"/>
      <c r="L26" s="1814"/>
      <c r="M26" s="1811"/>
      <c r="N26" s="1793"/>
      <c r="O26" s="1815"/>
      <c r="P26" s="1816" t="str">
        <f t="shared" si="0"/>
        <v/>
      </c>
      <c r="Q26" s="1817"/>
      <c r="R26" s="1818"/>
      <c r="S26" s="1819" t="str">
        <f t="shared" ref="S26" si="14">+IF(H26=0,"",R26/H26)</f>
        <v/>
      </c>
      <c r="T26" s="1652">
        <f t="shared" si="12"/>
        <v>0</v>
      </c>
      <c r="U26" s="1652">
        <f t="shared" si="2"/>
        <v>0</v>
      </c>
      <c r="V26" s="1652">
        <f t="shared" si="13"/>
        <v>0</v>
      </c>
      <c r="W26" s="1651"/>
    </row>
    <row r="27" spans="1:27" s="1416" customFormat="1" ht="13.8">
      <c r="A27" s="1416" t="s">
        <v>3630</v>
      </c>
      <c r="B27" s="1820" t="s">
        <v>537</v>
      </c>
      <c r="C27" s="1806" t="s">
        <v>3960</v>
      </c>
      <c r="D27" s="1425" t="s">
        <v>36</v>
      </c>
      <c r="E27" s="1807">
        <v>62400</v>
      </c>
      <c r="F27" s="1807">
        <v>0.56000000000000005</v>
      </c>
      <c r="G27" s="1808">
        <v>0.59</v>
      </c>
      <c r="H27" s="1809">
        <f t="shared" si="3"/>
        <v>34944</v>
      </c>
      <c r="I27" s="1809">
        <f t="shared" si="4"/>
        <v>36816</v>
      </c>
      <c r="J27" s="1797">
        <v>62400</v>
      </c>
      <c r="K27" s="1232">
        <f t="shared" ref="K27:K32" si="15">J27*G27</f>
        <v>36816</v>
      </c>
      <c r="L27" s="1814">
        <v>0</v>
      </c>
      <c r="M27" s="1811">
        <f t="shared" ref="M27:M32" si="16">L27*G27</f>
        <v>0</v>
      </c>
      <c r="N27" s="1425">
        <f>J27+L27</f>
        <v>62400</v>
      </c>
      <c r="O27" s="1366">
        <f t="shared" ref="O27:O32" si="17">N27*G27</f>
        <v>36816</v>
      </c>
      <c r="P27" s="1812">
        <f t="shared" ref="P27:P32" si="18">+IF(D27=0,"",O27/I27)</f>
        <v>1</v>
      </c>
      <c r="Q27" s="1427">
        <f t="shared" ref="Q27:Q32" si="19">E27-N27</f>
        <v>0</v>
      </c>
      <c r="R27" s="1234">
        <f t="shared" ref="R27:R32" si="20">ROUND((Q27*G27),2)</f>
        <v>0</v>
      </c>
      <c r="S27" s="1428">
        <f t="shared" ref="S27:S32" si="21">+IF(I27=0,"",R27/I27)</f>
        <v>0</v>
      </c>
      <c r="T27" s="1423">
        <f t="shared" si="12"/>
        <v>36816</v>
      </c>
      <c r="U27" s="1423">
        <f t="shared" si="2"/>
        <v>34944</v>
      </c>
      <c r="V27" s="1423">
        <f t="shared" si="13"/>
        <v>-1872</v>
      </c>
      <c r="W27" s="1435"/>
    </row>
    <row r="28" spans="1:27" s="1417" customFormat="1" ht="13.8">
      <c r="A28" s="1417" t="s">
        <v>3630</v>
      </c>
      <c r="B28" s="1820" t="s">
        <v>538</v>
      </c>
      <c r="C28" s="1806" t="s">
        <v>3961</v>
      </c>
      <c r="D28" s="1425" t="s">
        <v>40</v>
      </c>
      <c r="E28" s="1807">
        <v>970</v>
      </c>
      <c r="F28" s="1807">
        <v>35.04</v>
      </c>
      <c r="G28" s="1808">
        <v>36.479999999999997</v>
      </c>
      <c r="H28" s="1809">
        <f t="shared" si="3"/>
        <v>33988.800000000003</v>
      </c>
      <c r="I28" s="1809">
        <f t="shared" si="4"/>
        <v>35385.599999999999</v>
      </c>
      <c r="J28" s="1797">
        <v>970</v>
      </c>
      <c r="K28" s="1232">
        <f t="shared" si="15"/>
        <v>35385.599999999999</v>
      </c>
      <c r="L28" s="1814">
        <v>0</v>
      </c>
      <c r="M28" s="1811">
        <f t="shared" si="16"/>
        <v>0</v>
      </c>
      <c r="N28" s="1425">
        <f t="shared" ref="N28:N32" si="22">J28+L28</f>
        <v>970</v>
      </c>
      <c r="O28" s="1366">
        <f t="shared" si="17"/>
        <v>35385.599999999999</v>
      </c>
      <c r="P28" s="1812">
        <f t="shared" si="18"/>
        <v>1</v>
      </c>
      <c r="Q28" s="1427">
        <f t="shared" si="19"/>
        <v>0</v>
      </c>
      <c r="R28" s="1234">
        <f t="shared" si="20"/>
        <v>0</v>
      </c>
      <c r="S28" s="1428">
        <f t="shared" si="21"/>
        <v>0</v>
      </c>
      <c r="T28" s="1423">
        <f t="shared" si="12"/>
        <v>35385.599999999999</v>
      </c>
      <c r="U28" s="1423">
        <f t="shared" si="2"/>
        <v>33988.800000000003</v>
      </c>
      <c r="V28" s="1423">
        <f t="shared" si="13"/>
        <v>-1396.7999999999956</v>
      </c>
      <c r="W28" s="1434"/>
    </row>
    <row r="29" spans="1:27" s="1417" customFormat="1" ht="13.8">
      <c r="A29" s="1417" t="s">
        <v>3630</v>
      </c>
      <c r="B29" s="1820" t="s">
        <v>539</v>
      </c>
      <c r="C29" s="1806" t="s">
        <v>3962</v>
      </c>
      <c r="D29" s="1425" t="s">
        <v>40</v>
      </c>
      <c r="E29" s="1807">
        <v>970</v>
      </c>
      <c r="F29" s="1807">
        <v>55.04</v>
      </c>
      <c r="G29" s="1808">
        <v>56.48</v>
      </c>
      <c r="H29" s="1809">
        <f t="shared" si="3"/>
        <v>53388.800000000003</v>
      </c>
      <c r="I29" s="1809">
        <f t="shared" si="4"/>
        <v>54785.599999999999</v>
      </c>
      <c r="J29" s="1797">
        <v>970</v>
      </c>
      <c r="K29" s="1232">
        <f t="shared" si="15"/>
        <v>54785.599999999999</v>
      </c>
      <c r="L29" s="1814">
        <v>0</v>
      </c>
      <c r="M29" s="1811">
        <f t="shared" si="16"/>
        <v>0</v>
      </c>
      <c r="N29" s="1425">
        <f t="shared" si="22"/>
        <v>970</v>
      </c>
      <c r="O29" s="1366">
        <f t="shared" si="17"/>
        <v>54785.599999999999</v>
      </c>
      <c r="P29" s="1812">
        <f t="shared" si="18"/>
        <v>1</v>
      </c>
      <c r="Q29" s="1427">
        <f t="shared" si="19"/>
        <v>0</v>
      </c>
      <c r="R29" s="1234">
        <f t="shared" si="20"/>
        <v>0</v>
      </c>
      <c r="S29" s="1428">
        <f t="shared" si="21"/>
        <v>0</v>
      </c>
      <c r="T29" s="1423">
        <f t="shared" si="12"/>
        <v>54785.599999999999</v>
      </c>
      <c r="U29" s="1423">
        <f t="shared" si="2"/>
        <v>53388.800000000003</v>
      </c>
      <c r="V29" s="1423">
        <f t="shared" si="13"/>
        <v>-1396.7999999999956</v>
      </c>
      <c r="W29" s="1434"/>
    </row>
    <row r="30" spans="1:27" s="1416" customFormat="1" ht="13.8">
      <c r="A30" s="1416" t="s">
        <v>3630</v>
      </c>
      <c r="B30" s="1820" t="s">
        <v>540</v>
      </c>
      <c r="C30" s="1806" t="s">
        <v>3963</v>
      </c>
      <c r="D30" s="1425" t="s">
        <v>36</v>
      </c>
      <c r="E30" s="1807">
        <v>11700</v>
      </c>
      <c r="F30" s="1807">
        <v>0.78</v>
      </c>
      <c r="G30" s="1808">
        <v>0.81</v>
      </c>
      <c r="H30" s="1809">
        <f t="shared" si="3"/>
        <v>9126</v>
      </c>
      <c r="I30" s="1809">
        <f t="shared" si="4"/>
        <v>9477</v>
      </c>
      <c r="J30" s="1794">
        <v>11700</v>
      </c>
      <c r="K30" s="1232">
        <f t="shared" si="15"/>
        <v>9477</v>
      </c>
      <c r="L30" s="1814">
        <v>0</v>
      </c>
      <c r="M30" s="1811">
        <f t="shared" si="16"/>
        <v>0</v>
      </c>
      <c r="N30" s="1425">
        <f t="shared" si="22"/>
        <v>11700</v>
      </c>
      <c r="O30" s="1366">
        <f t="shared" si="17"/>
        <v>9477</v>
      </c>
      <c r="P30" s="1812">
        <f t="shared" si="18"/>
        <v>1</v>
      </c>
      <c r="Q30" s="1427">
        <f t="shared" si="19"/>
        <v>0</v>
      </c>
      <c r="R30" s="1234">
        <f t="shared" si="20"/>
        <v>0</v>
      </c>
      <c r="S30" s="1428">
        <f t="shared" si="21"/>
        <v>0</v>
      </c>
      <c r="T30" s="1423">
        <f t="shared" si="12"/>
        <v>9477</v>
      </c>
      <c r="U30" s="1423">
        <f t="shared" si="2"/>
        <v>9126</v>
      </c>
      <c r="V30" s="1423">
        <f t="shared" si="13"/>
        <v>-351</v>
      </c>
      <c r="W30" s="1435"/>
    </row>
    <row r="31" spans="1:27" s="1416" customFormat="1" ht="13.8">
      <c r="B31" s="1820" t="s">
        <v>541</v>
      </c>
      <c r="C31" s="1806" t="s">
        <v>3964</v>
      </c>
      <c r="D31" s="1425" t="s">
        <v>36</v>
      </c>
      <c r="E31" s="1807">
        <v>57000</v>
      </c>
      <c r="F31" s="1807">
        <v>0.2</v>
      </c>
      <c r="G31" s="1808">
        <v>0.21</v>
      </c>
      <c r="H31" s="1809">
        <f t="shared" si="3"/>
        <v>11400</v>
      </c>
      <c r="I31" s="1809">
        <f t="shared" si="4"/>
        <v>11970</v>
      </c>
      <c r="J31" s="1794">
        <v>57000</v>
      </c>
      <c r="K31" s="1232">
        <f t="shared" si="15"/>
        <v>11970</v>
      </c>
      <c r="L31" s="1814">
        <v>0</v>
      </c>
      <c r="M31" s="1811">
        <f t="shared" si="16"/>
        <v>0</v>
      </c>
      <c r="N31" s="1425">
        <f t="shared" si="22"/>
        <v>57000</v>
      </c>
      <c r="O31" s="1366">
        <f t="shared" si="17"/>
        <v>11970</v>
      </c>
      <c r="P31" s="1812">
        <f t="shared" si="18"/>
        <v>1</v>
      </c>
      <c r="Q31" s="1427">
        <f t="shared" si="19"/>
        <v>0</v>
      </c>
      <c r="R31" s="1234">
        <f t="shared" si="20"/>
        <v>0</v>
      </c>
      <c r="S31" s="1428">
        <f t="shared" si="21"/>
        <v>0</v>
      </c>
      <c r="T31" s="1423">
        <f t="shared" si="12"/>
        <v>11970</v>
      </c>
      <c r="U31" s="1423">
        <f t="shared" si="2"/>
        <v>11400</v>
      </c>
      <c r="V31" s="1423">
        <f t="shared" si="13"/>
        <v>-570</v>
      </c>
      <c r="W31" s="1435"/>
    </row>
    <row r="32" spans="1:27" s="1417" customFormat="1" ht="13.8">
      <c r="A32" s="1417" t="s">
        <v>3630</v>
      </c>
      <c r="B32" s="1820" t="s">
        <v>3745</v>
      </c>
      <c r="C32" s="1806" t="s">
        <v>3965</v>
      </c>
      <c r="D32" s="1425" t="s">
        <v>36</v>
      </c>
      <c r="E32" s="1807">
        <v>15200</v>
      </c>
      <c r="F32" s="1807">
        <v>0.39</v>
      </c>
      <c r="G32" s="1808">
        <v>0.4</v>
      </c>
      <c r="H32" s="1809">
        <f t="shared" si="3"/>
        <v>5928</v>
      </c>
      <c r="I32" s="1809">
        <f t="shared" si="4"/>
        <v>6080</v>
      </c>
      <c r="J32" s="1797">
        <v>15200</v>
      </c>
      <c r="K32" s="1232">
        <f t="shared" si="15"/>
        <v>6080</v>
      </c>
      <c r="L32" s="1814">
        <v>0</v>
      </c>
      <c r="M32" s="1811">
        <f t="shared" si="16"/>
        <v>0</v>
      </c>
      <c r="N32" s="1425">
        <f t="shared" si="22"/>
        <v>15200</v>
      </c>
      <c r="O32" s="1366">
        <f t="shared" si="17"/>
        <v>6080</v>
      </c>
      <c r="P32" s="1812">
        <f t="shared" si="18"/>
        <v>1</v>
      </c>
      <c r="Q32" s="1427">
        <f t="shared" si="19"/>
        <v>0</v>
      </c>
      <c r="R32" s="1234">
        <f t="shared" si="20"/>
        <v>0</v>
      </c>
      <c r="S32" s="1428">
        <f t="shared" si="21"/>
        <v>0</v>
      </c>
      <c r="T32" s="1423">
        <f t="shared" si="12"/>
        <v>6080</v>
      </c>
      <c r="U32" s="1423">
        <f t="shared" si="2"/>
        <v>5928</v>
      </c>
      <c r="V32" s="1423">
        <f t="shared" si="13"/>
        <v>-152</v>
      </c>
      <c r="W32" s="1434"/>
    </row>
    <row r="33" spans="1:23" s="1429" customFormat="1" ht="13.8">
      <c r="A33" s="1429" t="s">
        <v>3630</v>
      </c>
      <c r="B33" s="1821" t="s">
        <v>42</v>
      </c>
      <c r="C33" s="1822" t="s">
        <v>1154</v>
      </c>
      <c r="D33" s="1793"/>
      <c r="E33" s="1794"/>
      <c r="F33" s="1794"/>
      <c r="G33" s="1795"/>
      <c r="H33" s="1809">
        <f t="shared" si="3"/>
        <v>0</v>
      </c>
      <c r="I33" s="1809">
        <f t="shared" si="4"/>
        <v>0</v>
      </c>
      <c r="J33" s="1823"/>
      <c r="K33" s="1813"/>
      <c r="L33" s="1800"/>
      <c r="M33" s="1811"/>
      <c r="N33" s="1793"/>
      <c r="O33" s="1815"/>
      <c r="P33" s="1816"/>
      <c r="Q33" s="1817"/>
      <c r="R33" s="1818"/>
      <c r="S33" s="1819"/>
      <c r="T33" s="1652">
        <f t="shared" si="12"/>
        <v>0</v>
      </c>
      <c r="U33" s="1652">
        <f t="shared" si="2"/>
        <v>0</v>
      </c>
      <c r="V33" s="1652">
        <f t="shared" si="13"/>
        <v>0</v>
      </c>
      <c r="W33" s="1651"/>
    </row>
    <row r="34" spans="1:23" s="1429" customFormat="1" ht="13.8">
      <c r="B34" s="1792" t="s">
        <v>43</v>
      </c>
      <c r="C34" s="1792" t="s">
        <v>3966</v>
      </c>
      <c r="D34" s="1793"/>
      <c r="E34" s="1794"/>
      <c r="F34" s="1794"/>
      <c r="G34" s="1795"/>
      <c r="H34" s="1809">
        <f t="shared" si="3"/>
        <v>0</v>
      </c>
      <c r="I34" s="1809">
        <f t="shared" si="4"/>
        <v>0</v>
      </c>
      <c r="J34" s="1797"/>
      <c r="K34" s="1813"/>
      <c r="L34" s="1814"/>
      <c r="M34" s="1811"/>
      <c r="N34" s="1793"/>
      <c r="O34" s="1815"/>
      <c r="P34" s="1816"/>
      <c r="Q34" s="1817"/>
      <c r="R34" s="1818"/>
      <c r="S34" s="1819"/>
      <c r="T34" s="1652">
        <f t="shared" si="12"/>
        <v>0</v>
      </c>
      <c r="U34" s="1652">
        <f t="shared" si="2"/>
        <v>0</v>
      </c>
      <c r="V34" s="1652">
        <f t="shared" si="13"/>
        <v>0</v>
      </c>
      <c r="W34" s="1651"/>
    </row>
    <row r="35" spans="1:23" s="1417" customFormat="1" ht="13.8">
      <c r="B35" s="1824" t="s">
        <v>53</v>
      </c>
      <c r="C35" s="1806" t="s">
        <v>3967</v>
      </c>
      <c r="D35" s="1425" t="s">
        <v>40</v>
      </c>
      <c r="E35" s="1807">
        <v>3243.76</v>
      </c>
      <c r="F35" s="1807">
        <v>9.14</v>
      </c>
      <c r="G35" s="1808">
        <v>9.2100000000000009</v>
      </c>
      <c r="H35" s="1809">
        <f t="shared" si="3"/>
        <v>29647.97</v>
      </c>
      <c r="I35" s="1809">
        <f t="shared" si="4"/>
        <v>29875.03</v>
      </c>
      <c r="J35" s="1794">
        <v>3243.76</v>
      </c>
      <c r="K35" s="1232">
        <f t="shared" ref="K35:K36" si="23">J35*G35</f>
        <v>29875.029600000005</v>
      </c>
      <c r="L35" s="1810">
        <v>0</v>
      </c>
      <c r="M35" s="1811">
        <f t="shared" ref="M35:M36" si="24">L35*G35</f>
        <v>0</v>
      </c>
      <c r="N35" s="1425">
        <f t="shared" ref="N35:N59" si="25">J35+L35</f>
        <v>3243.76</v>
      </c>
      <c r="O35" s="1366">
        <f t="shared" ref="O35:O36" si="26">N35*G35</f>
        <v>29875.029600000005</v>
      </c>
      <c r="P35" s="1812">
        <f t="shared" ref="P35:P36" si="27">+IF(D35=0,"",O35/I35)</f>
        <v>0.99999998661089229</v>
      </c>
      <c r="Q35" s="1427">
        <f>E35-N35</f>
        <v>0</v>
      </c>
      <c r="R35" s="1234">
        <f t="shared" ref="R35:R36" si="28">ROUND((Q35*G35),2)</f>
        <v>0</v>
      </c>
      <c r="S35" s="1428">
        <f t="shared" ref="S35:S36" si="29">+IF(I35=0,"",R35/I35)</f>
        <v>0</v>
      </c>
      <c r="T35" s="1423">
        <f t="shared" si="12"/>
        <v>29875.029600000005</v>
      </c>
      <c r="U35" s="1423">
        <f t="shared" si="2"/>
        <v>29647.97</v>
      </c>
      <c r="V35" s="1423">
        <f t="shared" si="13"/>
        <v>-227.05960000000414</v>
      </c>
      <c r="W35" s="1434"/>
    </row>
    <row r="36" spans="1:23" s="1417" customFormat="1" ht="13.8">
      <c r="B36" s="1824" t="s">
        <v>564</v>
      </c>
      <c r="C36" s="1806" t="s">
        <v>3968</v>
      </c>
      <c r="D36" s="1425" t="s">
        <v>40</v>
      </c>
      <c r="E36" s="1807">
        <v>3181.66</v>
      </c>
      <c r="F36" s="1807">
        <v>53.02</v>
      </c>
      <c r="G36" s="1808">
        <v>53.85</v>
      </c>
      <c r="H36" s="1809">
        <f t="shared" si="3"/>
        <v>168691.61</v>
      </c>
      <c r="I36" s="1809">
        <f t="shared" si="4"/>
        <v>171332.39</v>
      </c>
      <c r="J36" s="1794">
        <v>3181.66</v>
      </c>
      <c r="K36" s="1232">
        <f t="shared" si="23"/>
        <v>171332.391</v>
      </c>
      <c r="L36" s="1810">
        <v>0</v>
      </c>
      <c r="M36" s="1811">
        <f t="shared" si="24"/>
        <v>0</v>
      </c>
      <c r="N36" s="1425">
        <f t="shared" si="25"/>
        <v>3181.66</v>
      </c>
      <c r="O36" s="1366">
        <f t="shared" si="26"/>
        <v>171332.391</v>
      </c>
      <c r="P36" s="1812">
        <f t="shared" si="27"/>
        <v>1.0000000058366079</v>
      </c>
      <c r="Q36" s="1427">
        <f>E36-N36</f>
        <v>0</v>
      </c>
      <c r="R36" s="1234">
        <f t="shared" si="28"/>
        <v>0</v>
      </c>
      <c r="S36" s="1428">
        <f t="shared" si="29"/>
        <v>0</v>
      </c>
      <c r="T36" s="1423">
        <f t="shared" si="12"/>
        <v>171332.391</v>
      </c>
      <c r="U36" s="1423">
        <f t="shared" si="2"/>
        <v>168691.61</v>
      </c>
      <c r="V36" s="1423">
        <f t="shared" si="13"/>
        <v>-2640.7810000000172</v>
      </c>
      <c r="W36" s="1436"/>
    </row>
    <row r="37" spans="1:23" s="1429" customFormat="1" ht="13.8">
      <c r="A37" s="1429" t="s">
        <v>3630</v>
      </c>
      <c r="B37" s="1792" t="s">
        <v>44</v>
      </c>
      <c r="C37" s="1792" t="s">
        <v>3746</v>
      </c>
      <c r="D37" s="1793"/>
      <c r="E37" s="1794"/>
      <c r="F37" s="1794"/>
      <c r="G37" s="1795"/>
      <c r="H37" s="1809">
        <f t="shared" si="3"/>
        <v>0</v>
      </c>
      <c r="I37" s="1809">
        <f t="shared" si="4"/>
        <v>0</v>
      </c>
      <c r="J37" s="1797"/>
      <c r="K37" s="1813"/>
      <c r="L37" s="1814"/>
      <c r="M37" s="1811"/>
      <c r="N37" s="1793"/>
      <c r="O37" s="1815"/>
      <c r="P37" s="1816"/>
      <c r="Q37" s="1817"/>
      <c r="R37" s="1818"/>
      <c r="S37" s="1819"/>
      <c r="T37" s="1652">
        <f t="shared" si="12"/>
        <v>0</v>
      </c>
      <c r="U37" s="1652">
        <f t="shared" si="2"/>
        <v>0</v>
      </c>
      <c r="V37" s="1652">
        <f t="shared" si="13"/>
        <v>0</v>
      </c>
      <c r="W37" s="1651"/>
    </row>
    <row r="38" spans="1:23" s="1429" customFormat="1" ht="13.8">
      <c r="A38" s="1429" t="s">
        <v>3630</v>
      </c>
      <c r="B38" s="1825" t="s">
        <v>54</v>
      </c>
      <c r="C38" s="1825" t="s">
        <v>3969</v>
      </c>
      <c r="D38" s="1793"/>
      <c r="E38" s="1794"/>
      <c r="F38" s="1794"/>
      <c r="G38" s="1795"/>
      <c r="H38" s="1809">
        <f t="shared" si="3"/>
        <v>0</v>
      </c>
      <c r="I38" s="1809">
        <f t="shared" si="4"/>
        <v>0</v>
      </c>
      <c r="J38" s="1797"/>
      <c r="K38" s="1813"/>
      <c r="L38" s="1814"/>
      <c r="M38" s="1811"/>
      <c r="N38" s="1793"/>
      <c r="O38" s="1815"/>
      <c r="P38" s="1816"/>
      <c r="Q38" s="1817"/>
      <c r="R38" s="1818"/>
      <c r="S38" s="1819"/>
      <c r="T38" s="1652">
        <f t="shared" si="12"/>
        <v>0</v>
      </c>
      <c r="U38" s="1652">
        <f t="shared" si="2"/>
        <v>0</v>
      </c>
      <c r="V38" s="1652">
        <f t="shared" si="13"/>
        <v>0</v>
      </c>
      <c r="W38" s="1651"/>
    </row>
    <row r="39" spans="1:23" s="1417" customFormat="1" ht="13.8">
      <c r="A39" s="1417" t="s">
        <v>3630</v>
      </c>
      <c r="B39" s="1824" t="s">
        <v>611</v>
      </c>
      <c r="C39" s="1806" t="s">
        <v>3970</v>
      </c>
      <c r="D39" s="1425" t="s">
        <v>37</v>
      </c>
      <c r="E39" s="1807">
        <v>90.79</v>
      </c>
      <c r="F39" s="1807">
        <v>34.660000000000004</v>
      </c>
      <c r="G39" s="1808">
        <v>35.479999999999997</v>
      </c>
      <c r="H39" s="1809">
        <f t="shared" si="3"/>
        <v>3146.78</v>
      </c>
      <c r="I39" s="1809">
        <f t="shared" si="4"/>
        <v>3221.23</v>
      </c>
      <c r="J39" s="1794">
        <v>90.79</v>
      </c>
      <c r="K39" s="1232">
        <f t="shared" ref="K39:K43" si="30">J39*G39</f>
        <v>3221.2291999999998</v>
      </c>
      <c r="L39" s="1810">
        <v>0</v>
      </c>
      <c r="M39" s="1811">
        <f t="shared" ref="M39:M41" si="31">L39*G39</f>
        <v>0</v>
      </c>
      <c r="N39" s="1425">
        <f t="shared" si="25"/>
        <v>90.79</v>
      </c>
      <c r="O39" s="1366">
        <f t="shared" ref="O39:O41" si="32">N39*G39</f>
        <v>3221.2291999999998</v>
      </c>
      <c r="P39" s="1812">
        <f t="shared" ref="P39:P41" si="33">+IF(D39=0,"",O39/I39)</f>
        <v>0.99999975164766242</v>
      </c>
      <c r="Q39" s="1427">
        <f>E39-N39</f>
        <v>0</v>
      </c>
      <c r="R39" s="1234">
        <f t="shared" ref="R39:R41" si="34">ROUND((Q39*G39),2)</f>
        <v>0</v>
      </c>
      <c r="S39" s="1428">
        <f t="shared" ref="S39:S41" si="35">+IF(I39=0,"",R39/I39)</f>
        <v>0</v>
      </c>
      <c r="T39" s="1423">
        <f t="shared" si="12"/>
        <v>3221.2291999999998</v>
      </c>
      <c r="U39" s="1423">
        <f t="shared" si="2"/>
        <v>3146.78</v>
      </c>
      <c r="V39" s="1423">
        <f t="shared" si="13"/>
        <v>-74.449199999999564</v>
      </c>
      <c r="W39" s="1434"/>
    </row>
    <row r="40" spans="1:23" s="1416" customFormat="1" ht="13.8">
      <c r="A40" s="1416" t="s">
        <v>3630</v>
      </c>
      <c r="B40" s="1824" t="s">
        <v>612</v>
      </c>
      <c r="C40" s="1806" t="s">
        <v>3971</v>
      </c>
      <c r="D40" s="1425" t="s">
        <v>37</v>
      </c>
      <c r="E40" s="1807">
        <v>71.86</v>
      </c>
      <c r="F40" s="1807">
        <v>70.34</v>
      </c>
      <c r="G40" s="1808">
        <v>71.209999999999994</v>
      </c>
      <c r="H40" s="1809">
        <f t="shared" si="3"/>
        <v>5054.63</v>
      </c>
      <c r="I40" s="1809">
        <f t="shared" si="4"/>
        <v>5117.1499999999996</v>
      </c>
      <c r="J40" s="1794">
        <v>71.86</v>
      </c>
      <c r="K40" s="1232">
        <f t="shared" si="30"/>
        <v>5117.1505999999999</v>
      </c>
      <c r="L40" s="1810">
        <v>0</v>
      </c>
      <c r="M40" s="1811">
        <f t="shared" si="31"/>
        <v>0</v>
      </c>
      <c r="N40" s="1425">
        <f t="shared" si="25"/>
        <v>71.86</v>
      </c>
      <c r="O40" s="1366">
        <f t="shared" si="32"/>
        <v>5117.1505999999999</v>
      </c>
      <c r="P40" s="1812">
        <f t="shared" si="33"/>
        <v>1.0000001172527677</v>
      </c>
      <c r="Q40" s="1427">
        <f>E40-N40</f>
        <v>0</v>
      </c>
      <c r="R40" s="1234">
        <f t="shared" si="34"/>
        <v>0</v>
      </c>
      <c r="S40" s="1428">
        <f t="shared" si="35"/>
        <v>0</v>
      </c>
      <c r="T40" s="1423">
        <f t="shared" si="12"/>
        <v>5117.1505999999999</v>
      </c>
      <c r="U40" s="1423">
        <f t="shared" si="2"/>
        <v>5054.63</v>
      </c>
      <c r="V40" s="1423">
        <f t="shared" si="13"/>
        <v>-62.520599999999831</v>
      </c>
      <c r="W40" s="1435"/>
    </row>
    <row r="41" spans="1:23" s="1417" customFormat="1" ht="13.8">
      <c r="B41" s="1824" t="s">
        <v>613</v>
      </c>
      <c r="C41" s="1806" t="s">
        <v>3972</v>
      </c>
      <c r="D41" s="1425" t="s">
        <v>37</v>
      </c>
      <c r="E41" s="1807">
        <v>130.69999999999999</v>
      </c>
      <c r="F41" s="1807">
        <v>70.34</v>
      </c>
      <c r="G41" s="1808">
        <v>71.209999999999994</v>
      </c>
      <c r="H41" s="1809">
        <f t="shared" si="3"/>
        <v>9193.44</v>
      </c>
      <c r="I41" s="1809">
        <f t="shared" si="4"/>
        <v>9307.15</v>
      </c>
      <c r="J41" s="1794">
        <v>130.69999999999999</v>
      </c>
      <c r="K41" s="1232">
        <f t="shared" si="30"/>
        <v>9307.146999999999</v>
      </c>
      <c r="L41" s="1810">
        <v>0</v>
      </c>
      <c r="M41" s="1811">
        <f t="shared" si="31"/>
        <v>0</v>
      </c>
      <c r="N41" s="1425">
        <f t="shared" si="25"/>
        <v>130.69999999999999</v>
      </c>
      <c r="O41" s="1366">
        <f t="shared" si="32"/>
        <v>9307.146999999999</v>
      </c>
      <c r="P41" s="1812">
        <f t="shared" si="33"/>
        <v>0.9999996776671698</v>
      </c>
      <c r="Q41" s="1427">
        <f>E41-N41</f>
        <v>0</v>
      </c>
      <c r="R41" s="1234">
        <f t="shared" si="34"/>
        <v>0</v>
      </c>
      <c r="S41" s="1428">
        <f t="shared" si="35"/>
        <v>0</v>
      </c>
      <c r="T41" s="1423">
        <f t="shared" si="12"/>
        <v>9307.146999999999</v>
      </c>
      <c r="U41" s="1423">
        <f t="shared" si="2"/>
        <v>9193.44</v>
      </c>
      <c r="V41" s="1423">
        <f t="shared" si="13"/>
        <v>-113.70699999999852</v>
      </c>
      <c r="W41" s="1434"/>
    </row>
    <row r="42" spans="1:23" s="1417" customFormat="1" ht="13.8">
      <c r="A42" s="1417" t="s">
        <v>3630</v>
      </c>
      <c r="B42" s="1826" t="s">
        <v>55</v>
      </c>
      <c r="C42" s="1826" t="s">
        <v>2909</v>
      </c>
      <c r="D42" s="1425"/>
      <c r="E42" s="1807"/>
      <c r="F42" s="1807"/>
      <c r="G42" s="1808"/>
      <c r="H42" s="1809">
        <f t="shared" si="3"/>
        <v>0</v>
      </c>
      <c r="I42" s="1809">
        <f t="shared" si="4"/>
        <v>0</v>
      </c>
      <c r="J42" s="1794"/>
      <c r="K42" s="1232"/>
      <c r="L42" s="1810"/>
      <c r="M42" s="1811"/>
      <c r="N42" s="1425"/>
      <c r="O42" s="1366"/>
      <c r="P42" s="1812"/>
      <c r="Q42" s="1427"/>
      <c r="R42" s="1234"/>
      <c r="S42" s="1428"/>
      <c r="T42" s="1423">
        <f t="shared" si="12"/>
        <v>0</v>
      </c>
      <c r="U42" s="1423">
        <f t="shared" si="2"/>
        <v>0</v>
      </c>
      <c r="V42" s="1423">
        <f t="shared" si="13"/>
        <v>0</v>
      </c>
      <c r="W42" s="1434"/>
    </row>
    <row r="43" spans="1:23" s="1417" customFormat="1" ht="13.8">
      <c r="A43" s="1417" t="s">
        <v>3630</v>
      </c>
      <c r="B43" s="1824" t="s">
        <v>611</v>
      </c>
      <c r="C43" s="1806" t="s">
        <v>3973</v>
      </c>
      <c r="D43" s="1425" t="s">
        <v>37</v>
      </c>
      <c r="E43" s="1807">
        <v>263.60000000000002</v>
      </c>
      <c r="F43" s="1807">
        <v>70.09</v>
      </c>
      <c r="G43" s="1808">
        <v>70.98</v>
      </c>
      <c r="H43" s="1809">
        <f t="shared" si="3"/>
        <v>18475.72</v>
      </c>
      <c r="I43" s="1809">
        <f t="shared" si="4"/>
        <v>18710.330000000002</v>
      </c>
      <c r="J43" s="1794">
        <v>263.60000000000002</v>
      </c>
      <c r="K43" s="1232">
        <f t="shared" si="30"/>
        <v>18710.328000000001</v>
      </c>
      <c r="L43" s="1810">
        <v>0</v>
      </c>
      <c r="M43" s="1811">
        <f>L43*G43</f>
        <v>0</v>
      </c>
      <c r="N43" s="1425">
        <f t="shared" si="25"/>
        <v>263.60000000000002</v>
      </c>
      <c r="O43" s="1366">
        <f t="shared" ref="O43" si="36">N43*G43</f>
        <v>18710.328000000001</v>
      </c>
      <c r="P43" s="1812">
        <f>+IF(D43=0,"",O43/I43)</f>
        <v>0.99999989310717663</v>
      </c>
      <c r="Q43" s="1427">
        <f>E43-N43</f>
        <v>0</v>
      </c>
      <c r="R43" s="1234">
        <f>ROUND((Q43*G43),2)</f>
        <v>0</v>
      </c>
      <c r="S43" s="1428">
        <f>+IF(I43=0,"",R43/I43)</f>
        <v>0</v>
      </c>
      <c r="T43" s="1423">
        <f t="shared" si="12"/>
        <v>18710.328000000001</v>
      </c>
      <c r="U43" s="1423">
        <f t="shared" si="2"/>
        <v>18475.72</v>
      </c>
      <c r="V43" s="1423">
        <f t="shared" si="13"/>
        <v>-234.60800000000017</v>
      </c>
      <c r="W43" s="1434"/>
    </row>
    <row r="44" spans="1:23" s="1429" customFormat="1" ht="13.8">
      <c r="A44" s="1429" t="s">
        <v>3630</v>
      </c>
      <c r="B44" s="1827" t="s">
        <v>52</v>
      </c>
      <c r="C44" s="1792" t="s">
        <v>2935</v>
      </c>
      <c r="D44" s="1793"/>
      <c r="E44" s="1794"/>
      <c r="F44" s="1794"/>
      <c r="G44" s="1795"/>
      <c r="H44" s="1809">
        <f t="shared" si="3"/>
        <v>0</v>
      </c>
      <c r="I44" s="1809">
        <f t="shared" si="4"/>
        <v>0</v>
      </c>
      <c r="J44" s="1794"/>
      <c r="K44" s="1813"/>
      <c r="L44" s="1810"/>
      <c r="M44" s="1811"/>
      <c r="N44" s="1793"/>
      <c r="O44" s="1815"/>
      <c r="P44" s="1816"/>
      <c r="Q44" s="1817"/>
      <c r="R44" s="1818"/>
      <c r="S44" s="1819"/>
      <c r="T44" s="1652">
        <f t="shared" si="12"/>
        <v>0</v>
      </c>
      <c r="U44" s="1652">
        <f t="shared" si="2"/>
        <v>0</v>
      </c>
      <c r="V44" s="1652">
        <f t="shared" si="13"/>
        <v>0</v>
      </c>
      <c r="W44" s="1651"/>
    </row>
    <row r="45" spans="1:23" s="1429" customFormat="1" ht="13.8">
      <c r="A45" s="1429" t="s">
        <v>3630</v>
      </c>
      <c r="B45" s="1828" t="s">
        <v>56</v>
      </c>
      <c r="C45" s="1825" t="s">
        <v>2936</v>
      </c>
      <c r="D45" s="1793"/>
      <c r="E45" s="1794"/>
      <c r="F45" s="1794"/>
      <c r="G45" s="1795"/>
      <c r="H45" s="1809">
        <f t="shared" si="3"/>
        <v>0</v>
      </c>
      <c r="I45" s="1809">
        <f t="shared" si="4"/>
        <v>0</v>
      </c>
      <c r="J45" s="1794"/>
      <c r="K45" s="1813"/>
      <c r="L45" s="1810"/>
      <c r="M45" s="1811"/>
      <c r="N45" s="1793"/>
      <c r="O45" s="1815"/>
      <c r="P45" s="1816"/>
      <c r="Q45" s="1817"/>
      <c r="R45" s="1818"/>
      <c r="S45" s="1819"/>
      <c r="T45" s="1652">
        <f t="shared" si="12"/>
        <v>0</v>
      </c>
      <c r="U45" s="1652">
        <f t="shared" si="2"/>
        <v>0</v>
      </c>
      <c r="V45" s="1652">
        <f t="shared" si="13"/>
        <v>0</v>
      </c>
      <c r="W45" s="1651"/>
    </row>
    <row r="46" spans="1:23" s="1417" customFormat="1" ht="13.8">
      <c r="B46" s="1824" t="s">
        <v>650</v>
      </c>
      <c r="C46" s="1806" t="s">
        <v>3974</v>
      </c>
      <c r="D46" s="1425" t="s">
        <v>37</v>
      </c>
      <c r="E46" s="1807">
        <v>775.79</v>
      </c>
      <c r="F46" s="1807">
        <v>70.09</v>
      </c>
      <c r="G46" s="1808">
        <v>70.98</v>
      </c>
      <c r="H46" s="1809">
        <f t="shared" si="3"/>
        <v>54375.12</v>
      </c>
      <c r="I46" s="1809">
        <f t="shared" si="4"/>
        <v>55065.57</v>
      </c>
      <c r="J46" s="1794">
        <v>775.79</v>
      </c>
      <c r="K46" s="1232">
        <f t="shared" ref="K46" si="37">J46*G46</f>
        <v>55065.574200000003</v>
      </c>
      <c r="L46" s="1810">
        <v>0</v>
      </c>
      <c r="M46" s="1811">
        <f>L46*G46</f>
        <v>0</v>
      </c>
      <c r="N46" s="1425">
        <f t="shared" si="25"/>
        <v>775.79</v>
      </c>
      <c r="O46" s="1366">
        <f t="shared" ref="O46" si="38">N46*G46</f>
        <v>55065.574200000003</v>
      </c>
      <c r="P46" s="1812">
        <f>+IF(D46=0,"",O46/I46)</f>
        <v>1.0000000762727055</v>
      </c>
      <c r="Q46" s="1427">
        <f>E46-N46</f>
        <v>0</v>
      </c>
      <c r="R46" s="1234">
        <f>ROUND((Q46*G46),2)</f>
        <v>0</v>
      </c>
      <c r="S46" s="1428">
        <f>+IF(I46=0,"",R46/I46)</f>
        <v>0</v>
      </c>
      <c r="T46" s="1423">
        <f t="shared" si="12"/>
        <v>55065.574200000003</v>
      </c>
      <c r="U46" s="1423">
        <f t="shared" si="2"/>
        <v>54375.12</v>
      </c>
      <c r="V46" s="1423">
        <f t="shared" si="13"/>
        <v>-690.45420000000013</v>
      </c>
      <c r="W46" s="1434"/>
    </row>
    <row r="47" spans="1:23" s="1429" customFormat="1" ht="13.8">
      <c r="B47" s="1828" t="s">
        <v>57</v>
      </c>
      <c r="C47" s="1825" t="s">
        <v>2982</v>
      </c>
      <c r="D47" s="1793"/>
      <c r="E47" s="1794"/>
      <c r="F47" s="1794"/>
      <c r="G47" s="1795"/>
      <c r="H47" s="1809">
        <f t="shared" si="3"/>
        <v>0</v>
      </c>
      <c r="I47" s="1809">
        <f t="shared" si="4"/>
        <v>0</v>
      </c>
      <c r="J47" s="1794"/>
      <c r="K47" s="1813"/>
      <c r="L47" s="1810"/>
      <c r="M47" s="1811"/>
      <c r="N47" s="1793"/>
      <c r="O47" s="1815"/>
      <c r="P47" s="1816"/>
      <c r="Q47" s="1817"/>
      <c r="R47" s="1818"/>
      <c r="S47" s="1819"/>
      <c r="T47" s="1652">
        <f t="shared" si="12"/>
        <v>0</v>
      </c>
      <c r="U47" s="1652">
        <f t="shared" si="2"/>
        <v>0</v>
      </c>
      <c r="V47" s="1652">
        <f t="shared" si="13"/>
        <v>0</v>
      </c>
      <c r="W47" s="1651"/>
    </row>
    <row r="48" spans="1:23" s="1417" customFormat="1" ht="13.8">
      <c r="B48" s="1824" t="s">
        <v>656</v>
      </c>
      <c r="C48" s="1806" t="s">
        <v>3975</v>
      </c>
      <c r="D48" s="1425" t="s">
        <v>36</v>
      </c>
      <c r="E48" s="1807">
        <v>2115</v>
      </c>
      <c r="F48" s="1807">
        <v>8.870000000000001</v>
      </c>
      <c r="G48" s="1808">
        <v>8.91</v>
      </c>
      <c r="H48" s="1809">
        <f t="shared" si="3"/>
        <v>18760.05</v>
      </c>
      <c r="I48" s="1809">
        <f t="shared" si="4"/>
        <v>18844.650000000001</v>
      </c>
      <c r="J48" s="1794">
        <v>2115</v>
      </c>
      <c r="K48" s="1232">
        <f t="shared" ref="K48" si="39">J48*G48</f>
        <v>18844.650000000001</v>
      </c>
      <c r="L48" s="1810">
        <v>0</v>
      </c>
      <c r="M48" s="1811">
        <f>L48*G48</f>
        <v>0</v>
      </c>
      <c r="N48" s="1425">
        <f t="shared" si="25"/>
        <v>2115</v>
      </c>
      <c r="O48" s="1366">
        <f t="shared" ref="O48" si="40">N48*G48</f>
        <v>18844.650000000001</v>
      </c>
      <c r="P48" s="1812">
        <f>+IF(D48=0,"",O48/I48)</f>
        <v>1</v>
      </c>
      <c r="Q48" s="1427">
        <f>E48-N48</f>
        <v>0</v>
      </c>
      <c r="R48" s="1234">
        <f>ROUND((Q48*G48),2)</f>
        <v>0</v>
      </c>
      <c r="S48" s="1428">
        <f>+IF(I48=0,"",R48/I48)</f>
        <v>0</v>
      </c>
      <c r="T48" s="1423">
        <f t="shared" si="12"/>
        <v>18844.650000000001</v>
      </c>
      <c r="U48" s="1423">
        <f t="shared" si="2"/>
        <v>18760.05</v>
      </c>
      <c r="V48" s="1423">
        <f t="shared" si="13"/>
        <v>-84.600000000002183</v>
      </c>
      <c r="W48" s="1434"/>
    </row>
    <row r="49" spans="1:24" s="1653" customFormat="1" ht="13.8">
      <c r="B49" s="1828" t="s">
        <v>661</v>
      </c>
      <c r="C49" s="1825" t="s">
        <v>3976</v>
      </c>
      <c r="D49" s="1793"/>
      <c r="E49" s="1794"/>
      <c r="F49" s="1794"/>
      <c r="G49" s="1795"/>
      <c r="H49" s="1809">
        <f t="shared" si="3"/>
        <v>0</v>
      </c>
      <c r="I49" s="1809">
        <f t="shared" si="4"/>
        <v>0</v>
      </c>
      <c r="J49" s="1797"/>
      <c r="K49" s="1813"/>
      <c r="L49" s="1814"/>
      <c r="M49" s="1811"/>
      <c r="N49" s="1793"/>
      <c r="O49" s="1815"/>
      <c r="P49" s="1816"/>
      <c r="Q49" s="1817"/>
      <c r="R49" s="1818"/>
      <c r="S49" s="1819"/>
      <c r="T49" s="1652">
        <f t="shared" si="12"/>
        <v>0</v>
      </c>
      <c r="U49" s="1652">
        <f t="shared" si="2"/>
        <v>0</v>
      </c>
      <c r="V49" s="1652">
        <f t="shared" si="13"/>
        <v>0</v>
      </c>
      <c r="W49" s="1829"/>
    </row>
    <row r="50" spans="1:24" s="1417" customFormat="1" ht="13.8">
      <c r="B50" s="1824" t="s">
        <v>662</v>
      </c>
      <c r="C50" s="1806" t="s">
        <v>3977</v>
      </c>
      <c r="D50" s="1425" t="s">
        <v>37</v>
      </c>
      <c r="E50" s="1807">
        <v>1640</v>
      </c>
      <c r="F50" s="1807">
        <v>21.8</v>
      </c>
      <c r="G50" s="1808">
        <v>22.54</v>
      </c>
      <c r="H50" s="1809">
        <f t="shared" si="3"/>
        <v>35752</v>
      </c>
      <c r="I50" s="1809">
        <f t="shared" si="4"/>
        <v>36965.599999999999</v>
      </c>
      <c r="J50" s="1797">
        <v>671.92000000000007</v>
      </c>
      <c r="K50" s="1232">
        <f t="shared" ref="K50" si="41">J50*G50</f>
        <v>15145.076800000001</v>
      </c>
      <c r="L50" s="1814">
        <v>0</v>
      </c>
      <c r="M50" s="1811">
        <f>L50*G50</f>
        <v>0</v>
      </c>
      <c r="N50" s="1425">
        <f t="shared" si="25"/>
        <v>671.92000000000007</v>
      </c>
      <c r="O50" s="1366">
        <f t="shared" ref="O50" si="42">N50*G50</f>
        <v>15145.076800000001</v>
      </c>
      <c r="P50" s="1812">
        <f>+IF(D50=0,"",O50/I50)</f>
        <v>0.40970731707317076</v>
      </c>
      <c r="Q50" s="1427">
        <f>E50-N50</f>
        <v>968.07999999999993</v>
      </c>
      <c r="R50" s="1234">
        <f>ROUND((Q50*G50),2)</f>
        <v>21820.52</v>
      </c>
      <c r="S50" s="2258">
        <f>+IF(I50=0,"",R50/I50)</f>
        <v>0.59029259635985898</v>
      </c>
      <c r="T50" s="1423">
        <f t="shared" si="12"/>
        <v>36965.596799999999</v>
      </c>
      <c r="U50" s="1423">
        <f t="shared" si="2"/>
        <v>35752</v>
      </c>
      <c r="V50" s="1423">
        <f t="shared" si="13"/>
        <v>-1213.5967999999993</v>
      </c>
      <c r="W50" s="1434"/>
    </row>
    <row r="51" spans="1:24" s="1429" customFormat="1" ht="13.8">
      <c r="B51" s="1821" t="s">
        <v>45</v>
      </c>
      <c r="C51" s="1822" t="s">
        <v>1383</v>
      </c>
      <c r="D51" s="1793"/>
      <c r="E51" s="1794"/>
      <c r="F51" s="1794"/>
      <c r="G51" s="1795"/>
      <c r="H51" s="1809">
        <f t="shared" si="3"/>
        <v>0</v>
      </c>
      <c r="I51" s="1809">
        <f t="shared" si="4"/>
        <v>0</v>
      </c>
      <c r="J51" s="1797"/>
      <c r="K51" s="1813"/>
      <c r="L51" s="1814"/>
      <c r="M51" s="1811"/>
      <c r="N51" s="1793"/>
      <c r="O51" s="1815"/>
      <c r="P51" s="1816"/>
      <c r="Q51" s="1817"/>
      <c r="R51" s="1818"/>
      <c r="S51" s="1819"/>
      <c r="T51" s="1652">
        <f t="shared" si="12"/>
        <v>0</v>
      </c>
      <c r="U51" s="1652">
        <f t="shared" si="2"/>
        <v>0</v>
      </c>
      <c r="V51" s="1652">
        <f t="shared" si="13"/>
        <v>0</v>
      </c>
      <c r="W51" s="1651"/>
    </row>
    <row r="52" spans="1:24" s="1429" customFormat="1" ht="13.8">
      <c r="A52" s="1429" t="s">
        <v>3630</v>
      </c>
      <c r="B52" s="1828" t="s">
        <v>47</v>
      </c>
      <c r="C52" s="1825" t="s">
        <v>3978</v>
      </c>
      <c r="D52" s="1793"/>
      <c r="E52" s="1794"/>
      <c r="F52" s="1794"/>
      <c r="G52" s="1795"/>
      <c r="H52" s="1809">
        <f t="shared" si="3"/>
        <v>0</v>
      </c>
      <c r="I52" s="1809">
        <f t="shared" si="4"/>
        <v>0</v>
      </c>
      <c r="J52" s="1797"/>
      <c r="K52" s="1813"/>
      <c r="L52" s="1814"/>
      <c r="M52" s="1811"/>
      <c r="N52" s="1793"/>
      <c r="O52" s="1815"/>
      <c r="P52" s="1816"/>
      <c r="Q52" s="1817"/>
      <c r="R52" s="1818"/>
      <c r="S52" s="1819"/>
      <c r="T52" s="1652">
        <f t="shared" si="12"/>
        <v>0</v>
      </c>
      <c r="U52" s="1652">
        <f t="shared" si="2"/>
        <v>0</v>
      </c>
      <c r="V52" s="1652">
        <f t="shared" si="13"/>
        <v>0</v>
      </c>
      <c r="W52" s="1651"/>
    </row>
    <row r="53" spans="1:24" s="1416" customFormat="1" ht="13.8">
      <c r="B53" s="1824" t="s">
        <v>49</v>
      </c>
      <c r="C53" s="1806" t="s">
        <v>3979</v>
      </c>
      <c r="D53" s="1425" t="s">
        <v>1454</v>
      </c>
      <c r="E53" s="1807">
        <v>1</v>
      </c>
      <c r="F53" s="1807">
        <v>10901.01</v>
      </c>
      <c r="G53" s="1808">
        <v>11114.7</v>
      </c>
      <c r="H53" s="1809">
        <f t="shared" si="3"/>
        <v>10901.01</v>
      </c>
      <c r="I53" s="1809">
        <f t="shared" si="4"/>
        <v>11114.7</v>
      </c>
      <c r="J53" s="1797">
        <v>0</v>
      </c>
      <c r="K53" s="1232">
        <f t="shared" ref="K53" si="43">J53*G53</f>
        <v>0</v>
      </c>
      <c r="L53" s="1814">
        <v>0</v>
      </c>
      <c r="M53" s="1811">
        <f t="shared" ref="M53:M59" si="44">L53*G53</f>
        <v>0</v>
      </c>
      <c r="N53" s="1425">
        <f t="shared" si="25"/>
        <v>0</v>
      </c>
      <c r="O53" s="1366">
        <f t="shared" ref="O53" si="45">N53*G53</f>
        <v>0</v>
      </c>
      <c r="P53" s="1812">
        <f>+IF(D53=0,"",O53/I53)</f>
        <v>0</v>
      </c>
      <c r="Q53" s="1427">
        <f>E53-N53</f>
        <v>1</v>
      </c>
      <c r="R53" s="1234">
        <f>ROUND((Q53*G53),2)</f>
        <v>11114.7</v>
      </c>
      <c r="S53" s="1428">
        <f>+IF(I53=0,"",R53/I53)</f>
        <v>1</v>
      </c>
      <c r="T53" s="1423">
        <f t="shared" si="12"/>
        <v>11114.7</v>
      </c>
      <c r="U53" s="1423">
        <f t="shared" si="2"/>
        <v>10901.01</v>
      </c>
      <c r="V53" s="1423">
        <f t="shared" si="13"/>
        <v>-213.69000000000051</v>
      </c>
      <c r="W53" s="1435"/>
    </row>
    <row r="54" spans="1:24" s="1429" customFormat="1" ht="13.8">
      <c r="A54" s="1429" t="s">
        <v>3630</v>
      </c>
      <c r="B54" s="1828" t="s">
        <v>475</v>
      </c>
      <c r="C54" s="1825" t="s">
        <v>3980</v>
      </c>
      <c r="D54" s="1793"/>
      <c r="E54" s="1794"/>
      <c r="F54" s="1794"/>
      <c r="G54" s="1795"/>
      <c r="H54" s="1809">
        <f t="shared" si="3"/>
        <v>0</v>
      </c>
      <c r="I54" s="1809">
        <f t="shared" si="4"/>
        <v>0</v>
      </c>
      <c r="J54" s="1797">
        <v>0</v>
      </c>
      <c r="K54" s="1813"/>
      <c r="L54" s="1814"/>
      <c r="M54" s="1811">
        <f t="shared" si="44"/>
        <v>0</v>
      </c>
      <c r="N54" s="1425">
        <f t="shared" si="25"/>
        <v>0</v>
      </c>
      <c r="O54" s="1815"/>
      <c r="P54" s="1816"/>
      <c r="Q54" s="1817"/>
      <c r="R54" s="1818"/>
      <c r="S54" s="1819"/>
      <c r="T54" s="1652">
        <f t="shared" si="12"/>
        <v>0</v>
      </c>
      <c r="U54" s="1652">
        <f t="shared" si="2"/>
        <v>0</v>
      </c>
      <c r="V54" s="1652">
        <f t="shared" si="13"/>
        <v>0</v>
      </c>
      <c r="W54" s="1651"/>
    </row>
    <row r="55" spans="1:24" s="1417" customFormat="1" ht="13.8">
      <c r="B55" s="1805" t="s">
        <v>476</v>
      </c>
      <c r="C55" s="1806" t="s">
        <v>3502</v>
      </c>
      <c r="D55" s="1425" t="s">
        <v>38</v>
      </c>
      <c r="E55" s="1807">
        <v>130</v>
      </c>
      <c r="F55" s="1807">
        <v>6.3100000000000005</v>
      </c>
      <c r="G55" s="1808">
        <v>6.49</v>
      </c>
      <c r="H55" s="1809">
        <f t="shared" si="3"/>
        <v>820.3</v>
      </c>
      <c r="I55" s="1809">
        <f t="shared" si="4"/>
        <v>843.7</v>
      </c>
      <c r="J55" s="1797">
        <v>130</v>
      </c>
      <c r="K55" s="1232">
        <f t="shared" ref="K55:K59" si="46">J55*G55</f>
        <v>843.7</v>
      </c>
      <c r="L55" s="1814">
        <v>0</v>
      </c>
      <c r="M55" s="1811">
        <f t="shared" si="44"/>
        <v>0</v>
      </c>
      <c r="N55" s="1425">
        <f t="shared" si="25"/>
        <v>130</v>
      </c>
      <c r="O55" s="1366">
        <f t="shared" ref="O55:O59" si="47">N55*G55</f>
        <v>843.7</v>
      </c>
      <c r="P55" s="1812">
        <f t="shared" ref="P55:P59" si="48">+IF(D55=0,"",O55/I55)</f>
        <v>1</v>
      </c>
      <c r="Q55" s="1427">
        <f>E55-N55</f>
        <v>0</v>
      </c>
      <c r="R55" s="1234">
        <f t="shared" ref="R55:R59" si="49">ROUND((Q55*G55),2)</f>
        <v>0</v>
      </c>
      <c r="S55" s="1428">
        <f t="shared" ref="S55:S59" si="50">+IF(I55=0,"",R55/I55)</f>
        <v>0</v>
      </c>
      <c r="T55" s="1423">
        <f t="shared" si="12"/>
        <v>843.7</v>
      </c>
      <c r="U55" s="1423">
        <f t="shared" si="2"/>
        <v>820.3</v>
      </c>
      <c r="V55" s="1423">
        <f t="shared" si="13"/>
        <v>-23.400000000000091</v>
      </c>
      <c r="W55" s="1434"/>
    </row>
    <row r="56" spans="1:24" s="1417" customFormat="1" ht="13.8">
      <c r="B56" s="1805" t="s">
        <v>477</v>
      </c>
      <c r="C56" s="1806" t="s">
        <v>3981</v>
      </c>
      <c r="D56" s="1425" t="s">
        <v>1452</v>
      </c>
      <c r="E56" s="1807">
        <v>12</v>
      </c>
      <c r="F56" s="1807">
        <v>99.15</v>
      </c>
      <c r="G56" s="1808">
        <v>101.14</v>
      </c>
      <c r="H56" s="1809">
        <f t="shared" si="3"/>
        <v>1189.8</v>
      </c>
      <c r="I56" s="1809">
        <f t="shared" si="4"/>
        <v>1213.68</v>
      </c>
      <c r="J56" s="1797">
        <v>12</v>
      </c>
      <c r="K56" s="1232">
        <f t="shared" si="46"/>
        <v>1213.68</v>
      </c>
      <c r="L56" s="1814">
        <v>0</v>
      </c>
      <c r="M56" s="1811">
        <f t="shared" si="44"/>
        <v>0</v>
      </c>
      <c r="N56" s="1425">
        <f t="shared" si="25"/>
        <v>12</v>
      </c>
      <c r="O56" s="1366">
        <f t="shared" si="47"/>
        <v>1213.68</v>
      </c>
      <c r="P56" s="1812">
        <f t="shared" si="48"/>
        <v>1</v>
      </c>
      <c r="Q56" s="1427">
        <f>E56-N56</f>
        <v>0</v>
      </c>
      <c r="R56" s="1234">
        <f t="shared" si="49"/>
        <v>0</v>
      </c>
      <c r="S56" s="1428">
        <f t="shared" si="50"/>
        <v>0</v>
      </c>
      <c r="T56" s="1423">
        <f t="shared" si="12"/>
        <v>1213.68</v>
      </c>
      <c r="U56" s="1423">
        <f t="shared" si="2"/>
        <v>1189.8</v>
      </c>
      <c r="V56" s="1423">
        <f t="shared" si="13"/>
        <v>-23.880000000000109</v>
      </c>
      <c r="W56" s="1434"/>
    </row>
    <row r="57" spans="1:24" s="1417" customFormat="1" ht="13.8">
      <c r="B57" s="1805" t="s">
        <v>478</v>
      </c>
      <c r="C57" s="1806" t="s">
        <v>3982</v>
      </c>
      <c r="D57" s="1425" t="s">
        <v>1451</v>
      </c>
      <c r="E57" s="1807">
        <v>4</v>
      </c>
      <c r="F57" s="1807">
        <v>90</v>
      </c>
      <c r="G57" s="1808">
        <v>92.37</v>
      </c>
      <c r="H57" s="1809">
        <f t="shared" si="3"/>
        <v>360</v>
      </c>
      <c r="I57" s="1809">
        <f t="shared" si="4"/>
        <v>369.48</v>
      </c>
      <c r="J57" s="1797">
        <v>4</v>
      </c>
      <c r="K57" s="1232">
        <f t="shared" si="46"/>
        <v>369.48</v>
      </c>
      <c r="L57" s="1814">
        <v>0</v>
      </c>
      <c r="M57" s="1811">
        <f t="shared" si="44"/>
        <v>0</v>
      </c>
      <c r="N57" s="1425">
        <f t="shared" si="25"/>
        <v>4</v>
      </c>
      <c r="O57" s="1366">
        <f t="shared" si="47"/>
        <v>369.48</v>
      </c>
      <c r="P57" s="1812">
        <f t="shared" si="48"/>
        <v>1</v>
      </c>
      <c r="Q57" s="1427">
        <f>E57-N57</f>
        <v>0</v>
      </c>
      <c r="R57" s="1234">
        <f t="shared" si="49"/>
        <v>0</v>
      </c>
      <c r="S57" s="1428">
        <f t="shared" si="50"/>
        <v>0</v>
      </c>
      <c r="T57" s="1423">
        <f t="shared" si="12"/>
        <v>369.48</v>
      </c>
      <c r="U57" s="1423">
        <f t="shared" si="2"/>
        <v>360</v>
      </c>
      <c r="V57" s="1423">
        <f t="shared" si="13"/>
        <v>-9.4800000000000182</v>
      </c>
      <c r="W57" s="1434"/>
    </row>
    <row r="58" spans="1:24" s="1416" customFormat="1" ht="13.8">
      <c r="B58" s="1805" t="s">
        <v>479</v>
      </c>
      <c r="C58" s="1806" t="s">
        <v>3983</v>
      </c>
      <c r="D58" s="1425" t="s">
        <v>36</v>
      </c>
      <c r="E58" s="1807">
        <v>12</v>
      </c>
      <c r="F58" s="1807">
        <v>171.61</v>
      </c>
      <c r="G58" s="1808">
        <v>172.42</v>
      </c>
      <c r="H58" s="1809">
        <f t="shared" si="3"/>
        <v>2059.3200000000002</v>
      </c>
      <c r="I58" s="1809">
        <f t="shared" si="4"/>
        <v>2069.04</v>
      </c>
      <c r="J58" s="1797">
        <v>0</v>
      </c>
      <c r="K58" s="1232">
        <f t="shared" si="46"/>
        <v>0</v>
      </c>
      <c r="L58" s="1814">
        <v>0</v>
      </c>
      <c r="M58" s="1811">
        <f t="shared" si="44"/>
        <v>0</v>
      </c>
      <c r="N58" s="1425">
        <f t="shared" si="25"/>
        <v>0</v>
      </c>
      <c r="O58" s="1366">
        <f t="shared" si="47"/>
        <v>0</v>
      </c>
      <c r="P58" s="1812">
        <f t="shared" si="48"/>
        <v>0</v>
      </c>
      <c r="Q58" s="1427">
        <f>E58-N58</f>
        <v>12</v>
      </c>
      <c r="R58" s="1234">
        <f t="shared" si="49"/>
        <v>2069.04</v>
      </c>
      <c r="S58" s="1428">
        <f t="shared" si="50"/>
        <v>1</v>
      </c>
      <c r="T58" s="1423">
        <f t="shared" si="12"/>
        <v>2069.04</v>
      </c>
      <c r="U58" s="1423">
        <f t="shared" si="2"/>
        <v>2059.3200000000002</v>
      </c>
      <c r="V58" s="1423">
        <f t="shared" si="13"/>
        <v>-9.7199999999997999</v>
      </c>
      <c r="W58" s="1435"/>
    </row>
    <row r="59" spans="1:24" s="1416" customFormat="1" ht="14.4" thickBot="1">
      <c r="B59" s="2145" t="s">
        <v>480</v>
      </c>
      <c r="C59" s="2146" t="s">
        <v>3984</v>
      </c>
      <c r="D59" s="2147" t="s">
        <v>38</v>
      </c>
      <c r="E59" s="2148">
        <v>130.56</v>
      </c>
      <c r="F59" s="2148">
        <v>7.47</v>
      </c>
      <c r="G59" s="2149">
        <v>7.71</v>
      </c>
      <c r="H59" s="2150">
        <f t="shared" si="3"/>
        <v>975.28</v>
      </c>
      <c r="I59" s="2151">
        <f t="shared" si="4"/>
        <v>1006.62</v>
      </c>
      <c r="J59" s="2152">
        <v>130.56</v>
      </c>
      <c r="K59" s="2153">
        <f t="shared" si="46"/>
        <v>1006.6176</v>
      </c>
      <c r="L59" s="2154">
        <v>0</v>
      </c>
      <c r="M59" s="2155">
        <f t="shared" si="44"/>
        <v>0</v>
      </c>
      <c r="N59" s="2147">
        <f t="shared" si="25"/>
        <v>130.56</v>
      </c>
      <c r="O59" s="2156">
        <f t="shared" si="47"/>
        <v>1006.6176</v>
      </c>
      <c r="P59" s="2157">
        <f t="shared" si="48"/>
        <v>0.99999761578351321</v>
      </c>
      <c r="Q59" s="2158">
        <f>E59-N59</f>
        <v>0</v>
      </c>
      <c r="R59" s="2159">
        <f t="shared" si="49"/>
        <v>0</v>
      </c>
      <c r="S59" s="2160">
        <f t="shared" si="50"/>
        <v>0</v>
      </c>
      <c r="T59" s="1423">
        <f t="shared" si="12"/>
        <v>1006.6176</v>
      </c>
      <c r="U59" s="1423">
        <f t="shared" si="2"/>
        <v>975.28</v>
      </c>
      <c r="V59" s="1423">
        <f t="shared" si="13"/>
        <v>-31.337600000000066</v>
      </c>
      <c r="W59" s="1435"/>
    </row>
    <row r="60" spans="1:24" s="561" customFormat="1" ht="12">
      <c r="B60" s="1253"/>
      <c r="C60" s="1327" t="s">
        <v>59</v>
      </c>
      <c r="D60" s="1328"/>
      <c r="E60" s="1328"/>
      <c r="F60" s="1328"/>
      <c r="G60" s="1328"/>
      <c r="H60" s="2161">
        <f>(SUM(H17:H59))</f>
        <v>575817.15</v>
      </c>
      <c r="I60" s="2162">
        <f>(SUM(I17:I59))</f>
        <v>587707.12</v>
      </c>
      <c r="J60" s="2163">
        <f>+K60/I60</f>
        <v>0.94043925416455731</v>
      </c>
      <c r="K60" s="1330">
        <f>SUM(K17:K59)</f>
        <v>552702.8456</v>
      </c>
      <c r="L60" s="1830">
        <f>M60/I60</f>
        <v>0</v>
      </c>
      <c r="M60" s="1430">
        <f>SUM(M17:M59)</f>
        <v>0</v>
      </c>
      <c r="N60" s="1332">
        <f>+O60/I60</f>
        <v>0.94043927117983528</v>
      </c>
      <c r="O60" s="1330">
        <f>SUM(O17:O59)+0.01</f>
        <v>552702.85560000001</v>
      </c>
      <c r="P60" s="1332"/>
      <c r="Q60" s="1254"/>
      <c r="R60" s="1329">
        <f>SUM(R17:R59)</f>
        <v>35004.26</v>
      </c>
      <c r="S60" s="1376">
        <f>+R60/I60</f>
        <v>5.9560721333442417E-2</v>
      </c>
      <c r="T60" s="562">
        <f>+R60+O60</f>
        <v>587707.11560000002</v>
      </c>
      <c r="U60" s="562"/>
      <c r="V60" s="562"/>
      <c r="W60" s="1351">
        <f>+H60</f>
        <v>575817.15</v>
      </c>
      <c r="X60" s="562">
        <f>+T60-W60</f>
        <v>11889.965599999996</v>
      </c>
    </row>
    <row r="61" spans="1:24" s="49" customFormat="1" ht="11.4">
      <c r="B61" s="1694"/>
      <c r="C61" s="1695" t="s">
        <v>256</v>
      </c>
      <c r="D61" s="1696"/>
      <c r="E61" s="1697"/>
      <c r="F61" s="1697"/>
      <c r="G61" s="1697"/>
      <c r="H61" s="2164"/>
      <c r="I61" s="1698">
        <v>45201.65</v>
      </c>
      <c r="J61" s="1415"/>
      <c r="K61" s="1415">
        <f>+J60*I61</f>
        <v>42509.406013007363</v>
      </c>
      <c r="L61" s="1832"/>
      <c r="M61" s="1335">
        <f>+L60*I61</f>
        <v>0</v>
      </c>
      <c r="N61" s="1699"/>
      <c r="O61" s="1415">
        <f t="shared" ref="O61:O62" si="51">K61+M61</f>
        <v>42509.406013007363</v>
      </c>
      <c r="P61" s="1699"/>
      <c r="Q61" s="1833"/>
      <c r="R61" s="1698">
        <f>I61-O61</f>
        <v>2692.2439869926384</v>
      </c>
      <c r="S61" s="1702"/>
      <c r="T61" s="1703"/>
      <c r="U61" s="1703"/>
      <c r="V61" s="1703"/>
      <c r="W61" s="524"/>
    </row>
    <row r="62" spans="1:24" s="561" customFormat="1" ht="11.4">
      <c r="B62" s="1255"/>
      <c r="C62" s="1338" t="s">
        <v>1817</v>
      </c>
      <c r="D62" s="1339"/>
      <c r="E62" s="1333"/>
      <c r="F62" s="1333"/>
      <c r="G62" s="1333"/>
      <c r="H62" s="2165"/>
      <c r="I62" s="1334">
        <v>14913.66</v>
      </c>
      <c r="J62" s="1335"/>
      <c r="K62" s="1415">
        <f>+J60*I62</f>
        <v>14025.391287263792</v>
      </c>
      <c r="L62" s="1834"/>
      <c r="M62" s="1335">
        <f>+L60*I62</f>
        <v>0</v>
      </c>
      <c r="N62" s="1336"/>
      <c r="O62" s="1335">
        <f t="shared" si="51"/>
        <v>14025.391287263792</v>
      </c>
      <c r="P62" s="1336"/>
      <c r="Q62" s="1275"/>
      <c r="R62" s="1334">
        <f>I62-O62</f>
        <v>888.26871273620782</v>
      </c>
      <c r="S62" s="1337"/>
      <c r="T62" s="562"/>
      <c r="U62" s="562"/>
      <c r="V62" s="562"/>
      <c r="W62" s="1351"/>
    </row>
    <row r="63" spans="1:24" s="561" customFormat="1" ht="12">
      <c r="B63" s="1255"/>
      <c r="C63" s="1340" t="s">
        <v>3574</v>
      </c>
      <c r="D63" s="1341"/>
      <c r="E63" s="1341"/>
      <c r="F63" s="1341"/>
      <c r="G63" s="1341"/>
      <c r="H63" s="2165"/>
      <c r="I63" s="1342">
        <f>ROUND(SUM(I60:I62),2)</f>
        <v>647822.43000000005</v>
      </c>
      <c r="J63" s="1343"/>
      <c r="K63" s="1343">
        <f>SUM(K60:K62)</f>
        <v>609237.64290027122</v>
      </c>
      <c r="L63" s="1835"/>
      <c r="M63" s="1343">
        <f>SUM(M60:M62)</f>
        <v>0</v>
      </c>
      <c r="N63" s="1342"/>
      <c r="O63" s="1343">
        <f>SUM(O60:O62)</f>
        <v>609237.65290027123</v>
      </c>
      <c r="P63" s="1243"/>
      <c r="Q63" s="1342"/>
      <c r="R63" s="1344">
        <f>SUM(R60:R62)</f>
        <v>38584.772699728848</v>
      </c>
      <c r="S63" s="1345"/>
      <c r="T63" s="562" t="e">
        <f>+#REF!-R60</f>
        <v>#REF!</v>
      </c>
      <c r="U63" s="562"/>
      <c r="V63" s="562"/>
      <c r="W63" s="1351"/>
    </row>
    <row r="64" spans="1:24" s="1229" customFormat="1" ht="13.8" thickBot="1">
      <c r="B64" s="1256"/>
      <c r="C64" s="1836" t="s">
        <v>61</v>
      </c>
      <c r="D64" s="1257"/>
      <c r="E64" s="1257"/>
      <c r="F64" s="1257"/>
      <c r="G64" s="1257"/>
      <c r="H64" s="2166"/>
      <c r="I64" s="1258">
        <f>SUM(I63:I63)</f>
        <v>647822.43000000005</v>
      </c>
      <c r="J64" s="1261">
        <f>+K64/I64</f>
        <v>0.94043925416455743</v>
      </c>
      <c r="K64" s="1259">
        <f>SUM(K63:K63)</f>
        <v>609237.64290027122</v>
      </c>
      <c r="L64" s="1706">
        <f>M64/I64</f>
        <v>0</v>
      </c>
      <c r="M64" s="1432">
        <f>SUM(M63:M63)</f>
        <v>0</v>
      </c>
      <c r="N64" s="1261">
        <f>O64/I64</f>
        <v>0.94043926960088609</v>
      </c>
      <c r="O64" s="1259">
        <f>SUM(O63:O63)</f>
        <v>609237.65290027123</v>
      </c>
      <c r="P64" s="1261"/>
      <c r="Q64" s="1260"/>
      <c r="R64" s="1258">
        <f>ROUND(SUM(R63:R63),2)</f>
        <v>38584.769999999997</v>
      </c>
      <c r="S64" s="1709">
        <f>+R64/I64</f>
        <v>5.9560719439739056E-2</v>
      </c>
      <c r="T64" s="562">
        <f>+I64</f>
        <v>647822.43000000005</v>
      </c>
      <c r="U64" s="562"/>
      <c r="V64" s="562"/>
      <c r="W64" s="1351">
        <f>+O64+R64</f>
        <v>647822.42290027125</v>
      </c>
      <c r="X64" s="562">
        <f>+T64-W64</f>
        <v>7.0997287984937429E-3</v>
      </c>
    </row>
    <row r="65" spans="2:23" s="561" customFormat="1" ht="10.199999999999999" hidden="1">
      <c r="B65" s="1244"/>
      <c r="C65" s="1246"/>
      <c r="D65" s="1247"/>
      <c r="E65" s="1248"/>
      <c r="F65" s="1249"/>
      <c r="G65" s="1249"/>
      <c r="H65" s="1250"/>
      <c r="I65" s="1250"/>
      <c r="J65" s="1251"/>
      <c r="K65" s="1252"/>
      <c r="L65" s="1710"/>
      <c r="M65" s="1433"/>
      <c r="N65" s="1247"/>
      <c r="O65" s="1251"/>
      <c r="P65" s="1251"/>
      <c r="Q65" s="1249"/>
      <c r="R65" s="1246"/>
      <c r="S65" s="1246"/>
      <c r="T65" s="562"/>
      <c r="U65" s="562"/>
      <c r="V65" s="562"/>
      <c r="W65" s="1173"/>
    </row>
    <row r="66" spans="2:23" s="561" customFormat="1" ht="10.199999999999999" hidden="1">
      <c r="B66" s="1713"/>
      <c r="C66" s="1714"/>
      <c r="D66" s="638"/>
      <c r="E66" s="1715"/>
      <c r="F66" s="1837"/>
      <c r="G66" s="1837"/>
      <c r="H66" s="1716"/>
      <c r="I66" s="1716"/>
      <c r="J66" s="1717"/>
      <c r="K66" s="638"/>
      <c r="L66" s="1718"/>
      <c r="M66" s="1611"/>
      <c r="N66" s="638"/>
      <c r="O66" s="1717"/>
      <c r="P66" s="1717"/>
      <c r="Q66" s="1837"/>
      <c r="R66" s="1714"/>
      <c r="S66" s="1714"/>
      <c r="W66" s="1173"/>
    </row>
    <row r="67" spans="2:23" s="561" customFormat="1" hidden="1">
      <c r="B67" s="1720"/>
      <c r="C67" s="1721"/>
      <c r="D67" s="2975" t="s">
        <v>62</v>
      </c>
      <c r="E67" s="2976"/>
      <c r="F67" s="2976"/>
      <c r="G67" s="2976"/>
      <c r="H67" s="2976"/>
      <c r="I67" s="2976"/>
      <c r="J67" s="2977"/>
      <c r="K67" s="1722">
        <f>+K60/H60</f>
        <v>0.95985825639267597</v>
      </c>
      <c r="L67" s="1723"/>
      <c r="M67" s="668">
        <f>+M60/H60</f>
        <v>0</v>
      </c>
      <c r="N67" s="683"/>
      <c r="O67" s="1724"/>
      <c r="P67" s="1725">
        <f>+O60/H60</f>
        <v>0.95985827375930011</v>
      </c>
      <c r="Q67" s="1838"/>
      <c r="R67" s="1726"/>
      <c r="S67" s="1727">
        <f>+R60/H60</f>
        <v>6.0790582566010755E-2</v>
      </c>
      <c r="T67" s="1728"/>
      <c r="U67" s="1728"/>
      <c r="V67" s="1728"/>
      <c r="W67" s="1173"/>
    </row>
    <row r="68" spans="2:23" s="561" customFormat="1" hidden="1">
      <c r="B68" s="1713"/>
      <c r="C68" s="1714"/>
      <c r="D68" s="683"/>
      <c r="E68" s="1729"/>
      <c r="F68" s="1839"/>
      <c r="G68" s="1839"/>
      <c r="H68" s="1730"/>
      <c r="I68" s="1730"/>
      <c r="J68" s="683"/>
      <c r="K68" s="683"/>
      <c r="L68" s="1723"/>
      <c r="M68" s="1612"/>
      <c r="N68" s="683"/>
      <c r="O68" s="1724"/>
      <c r="P68" s="683"/>
      <c r="Q68" s="1838"/>
      <c r="R68" s="1726"/>
      <c r="S68" s="1731"/>
      <c r="W68" s="1173"/>
    </row>
    <row r="69" spans="2:23" s="561" customFormat="1" hidden="1">
      <c r="B69" s="1713"/>
      <c r="C69" s="1840" t="s">
        <v>1806</v>
      </c>
      <c r="D69" s="683">
        <v>0.13514169600000001</v>
      </c>
      <c r="E69" s="1729"/>
      <c r="F69" s="1839"/>
      <c r="G69" s="1839"/>
      <c r="H69" s="1730">
        <f>H60*D69</f>
        <v>77816.906236886411</v>
      </c>
      <c r="I69" s="1730"/>
      <c r="J69" s="683"/>
      <c r="K69" s="683"/>
      <c r="L69" s="1723"/>
      <c r="M69" s="1612"/>
      <c r="N69" s="683"/>
      <c r="O69" s="1724"/>
      <c r="P69" s="683"/>
      <c r="Q69" s="1838"/>
      <c r="R69" s="1726"/>
      <c r="S69" s="1731"/>
      <c r="W69" s="1173"/>
    </row>
    <row r="70" spans="2:23" s="561" customFormat="1" hidden="1">
      <c r="B70" s="1713"/>
      <c r="C70" s="1840" t="s">
        <v>1807</v>
      </c>
      <c r="D70" s="683">
        <v>2.5765203E-2</v>
      </c>
      <c r="E70" s="1729"/>
      <c r="F70" s="1839"/>
      <c r="G70" s="1839"/>
      <c r="H70" s="1730" t="e">
        <f>#REF!*D70</f>
        <v>#REF!</v>
      </c>
      <c r="I70" s="1730"/>
      <c r="J70" s="683"/>
      <c r="K70" s="683"/>
      <c r="L70" s="1723"/>
      <c r="M70" s="1612"/>
      <c r="N70" s="683"/>
      <c r="O70" s="1724"/>
      <c r="P70" s="683"/>
      <c r="Q70" s="1838"/>
      <c r="R70" s="1726"/>
      <c r="S70" s="1731"/>
      <c r="W70" s="1173"/>
    </row>
    <row r="71" spans="2:23" s="561" customFormat="1" hidden="1">
      <c r="B71" s="1713"/>
      <c r="C71" s="1840" t="s">
        <v>1808</v>
      </c>
      <c r="D71" s="683">
        <v>5.4089901000000003E-2</v>
      </c>
      <c r="E71" s="1729"/>
      <c r="F71" s="1839"/>
      <c r="G71" s="1839"/>
      <c r="H71" s="1730" t="e">
        <f>#REF!*D71</f>
        <v>#REF!</v>
      </c>
      <c r="I71" s="1730"/>
      <c r="J71" s="683"/>
      <c r="K71" s="683"/>
      <c r="L71" s="1723"/>
      <c r="M71" s="1612"/>
      <c r="N71" s="683"/>
      <c r="O71" s="1724"/>
      <c r="P71" s="683"/>
      <c r="Q71" s="1838"/>
      <c r="R71" s="1726"/>
      <c r="S71" s="1731"/>
      <c r="W71" s="1173"/>
    </row>
    <row r="72" spans="2:23" s="561" customFormat="1" hidden="1">
      <c r="B72" s="1713"/>
      <c r="C72" s="1840" t="s">
        <v>1809</v>
      </c>
      <c r="D72" s="683">
        <v>1.4803359E-2</v>
      </c>
      <c r="E72" s="1729"/>
      <c r="F72" s="1839"/>
      <c r="G72" s="1839"/>
      <c r="H72" s="1730" t="e">
        <f>#REF!*D72</f>
        <v>#REF!</v>
      </c>
      <c r="I72" s="1730"/>
      <c r="J72" s="683"/>
      <c r="K72" s="683"/>
      <c r="L72" s="1723"/>
      <c r="M72" s="1612"/>
      <c r="N72" s="683"/>
      <c r="O72" s="1724"/>
      <c r="P72" s="683"/>
      <c r="Q72" s="1838"/>
      <c r="R72" s="1726"/>
      <c r="S72" s="1731"/>
      <c r="W72" s="1173"/>
    </row>
    <row r="73" spans="2:23" s="561" customFormat="1" hidden="1">
      <c r="B73" s="1713"/>
      <c r="C73" s="1840" t="s">
        <v>1810</v>
      </c>
      <c r="D73" s="683">
        <v>3.2312274000000002E-2</v>
      </c>
      <c r="E73" s="1729"/>
      <c r="F73" s="1839"/>
      <c r="G73" s="1839"/>
      <c r="H73" s="1730" t="e">
        <f>#REF!*D73</f>
        <v>#REF!</v>
      </c>
      <c r="I73" s="1730"/>
      <c r="J73" s="683"/>
      <c r="K73" s="683"/>
      <c r="L73" s="1723"/>
      <c r="M73" s="1612"/>
      <c r="N73" s="683"/>
      <c r="O73" s="1724"/>
      <c r="P73" s="683"/>
      <c r="Q73" s="1838"/>
      <c r="R73" s="1726"/>
      <c r="S73" s="1731"/>
      <c r="W73" s="1173"/>
    </row>
    <row r="74" spans="2:23" s="561" customFormat="1" hidden="1">
      <c r="B74" s="1713"/>
      <c r="C74" s="1840" t="s">
        <v>1811</v>
      </c>
      <c r="D74" s="683"/>
      <c r="E74" s="1729"/>
      <c r="F74" s="1839"/>
      <c r="G74" s="1839"/>
      <c r="H74" s="1730"/>
      <c r="I74" s="1730"/>
      <c r="J74" s="683"/>
      <c r="K74" s="683"/>
      <c r="L74" s="1723"/>
      <c r="M74" s="1612"/>
      <c r="N74" s="683"/>
      <c r="O74" s="1724"/>
      <c r="P74" s="683"/>
      <c r="Q74" s="1838"/>
      <c r="R74" s="1726"/>
      <c r="S74" s="1731"/>
      <c r="W74" s="1173"/>
    </row>
    <row r="75" spans="2:23" s="561" customFormat="1" hidden="1">
      <c r="B75" s="1713"/>
      <c r="C75" s="1840" t="s">
        <v>1812</v>
      </c>
      <c r="D75" s="683"/>
      <c r="E75" s="1729"/>
      <c r="F75" s="1839"/>
      <c r="G75" s="1839"/>
      <c r="H75" s="1730"/>
      <c r="I75" s="1730"/>
      <c r="J75" s="683"/>
      <c r="K75" s="683"/>
      <c r="L75" s="1723"/>
      <c r="M75" s="1612"/>
      <c r="N75" s="683"/>
      <c r="O75" s="1724"/>
      <c r="P75" s="683"/>
      <c r="Q75" s="1838"/>
      <c r="R75" s="1726"/>
      <c r="S75" s="1731"/>
      <c r="W75" s="1173"/>
    </row>
    <row r="76" spans="2:23" s="561" customFormat="1" hidden="1">
      <c r="B76" s="1713"/>
      <c r="C76" s="1840" t="s">
        <v>1813</v>
      </c>
      <c r="D76" s="683"/>
      <c r="E76" s="1729"/>
      <c r="F76" s="1839"/>
      <c r="G76" s="1839"/>
      <c r="H76" s="1730"/>
      <c r="I76" s="1730"/>
      <c r="J76" s="683"/>
      <c r="K76" s="683"/>
      <c r="L76" s="1723"/>
      <c r="M76" s="1612"/>
      <c r="N76" s="683"/>
      <c r="O76" s="1724"/>
      <c r="P76" s="683"/>
      <c r="Q76" s="1838"/>
      <c r="R76" s="1726"/>
      <c r="S76" s="1731"/>
      <c r="W76" s="1173"/>
    </row>
    <row r="77" spans="2:23" s="561" customFormat="1" hidden="1">
      <c r="B77" s="1713"/>
      <c r="C77" s="1840" t="s">
        <v>1814</v>
      </c>
      <c r="D77" s="683"/>
      <c r="E77" s="1729"/>
      <c r="F77" s="1839"/>
      <c r="G77" s="1839"/>
      <c r="H77" s="1730"/>
      <c r="I77" s="1730"/>
      <c r="J77" s="683"/>
      <c r="K77" s="683"/>
      <c r="L77" s="1723"/>
      <c r="M77" s="1612"/>
      <c r="N77" s="683"/>
      <c r="O77" s="1724"/>
      <c r="P77" s="683"/>
      <c r="Q77" s="1838"/>
      <c r="R77" s="1726"/>
      <c r="S77" s="1731"/>
      <c r="W77" s="1173"/>
    </row>
    <row r="78" spans="2:23" s="561" customFormat="1" hidden="1">
      <c r="B78" s="1713"/>
      <c r="C78" s="1840" t="s">
        <v>1815</v>
      </c>
      <c r="D78" s="683"/>
      <c r="E78" s="1729"/>
      <c r="F78" s="1839"/>
      <c r="G78" s="1839"/>
      <c r="H78" s="1730"/>
      <c r="I78" s="1730"/>
      <c r="J78" s="683"/>
      <c r="K78" s="683"/>
      <c r="L78" s="1723"/>
      <c r="M78" s="1612"/>
      <c r="N78" s="683"/>
      <c r="O78" s="1724"/>
      <c r="P78" s="683"/>
      <c r="Q78" s="1838"/>
      <c r="R78" s="1726"/>
      <c r="S78" s="1731"/>
      <c r="W78" s="1173"/>
    </row>
    <row r="79" spans="2:23" s="561" customFormat="1" hidden="1">
      <c r="B79" s="1713"/>
      <c r="C79" s="1840" t="s">
        <v>1816</v>
      </c>
      <c r="D79" s="683"/>
      <c r="E79" s="1729"/>
      <c r="F79" s="1839"/>
      <c r="G79" s="1839"/>
      <c r="H79" s="1730"/>
      <c r="I79" s="1730"/>
      <c r="J79" s="683"/>
      <c r="K79" s="683"/>
      <c r="L79" s="1723"/>
      <c r="M79" s="1612"/>
      <c r="N79" s="683"/>
      <c r="O79" s="1724"/>
      <c r="P79" s="683"/>
      <c r="Q79" s="1838"/>
      <c r="R79" s="1726"/>
      <c r="S79" s="1731"/>
      <c r="W79" s="1173"/>
    </row>
    <row r="80" spans="2:23" s="561" customFormat="1" ht="10.199999999999999" hidden="1">
      <c r="B80" s="1841"/>
      <c r="C80" s="1841"/>
      <c r="D80" s="1842"/>
      <c r="E80" s="1843"/>
      <c r="F80" s="1843"/>
      <c r="G80" s="1843"/>
      <c r="H80" s="1843"/>
      <c r="I80" s="1843"/>
      <c r="J80" s="1844"/>
      <c r="K80" s="1845"/>
      <c r="L80" s="1846"/>
      <c r="M80" s="1847"/>
      <c r="N80" s="1844"/>
      <c r="O80" s="1845"/>
      <c r="P80" s="1848"/>
      <c r="Q80" s="1849"/>
      <c r="R80" s="1849"/>
      <c r="S80" s="1850"/>
      <c r="W80" s="1173"/>
    </row>
    <row r="81" spans="4:23" s="561" customFormat="1" ht="15.6">
      <c r="D81" s="1173"/>
      <c r="E81" s="562"/>
      <c r="F81" s="562"/>
      <c r="G81" s="562"/>
      <c r="H81" s="562"/>
      <c r="I81" s="1851">
        <f>I60-H60</f>
        <v>11889.969999999972</v>
      </c>
      <c r="J81" s="1173"/>
      <c r="K81" s="1852"/>
      <c r="L81" s="1173"/>
      <c r="M81" s="2135">
        <f>+K60+M60</f>
        <v>552702.8456</v>
      </c>
      <c r="N81" s="2136"/>
      <c r="O81" s="2136"/>
      <c r="P81" s="2136"/>
      <c r="R81" s="562"/>
    </row>
    <row r="82" spans="4:23" s="18" customFormat="1" ht="10.199999999999999">
      <c r="D82" s="97"/>
      <c r="E82" s="26"/>
      <c r="F82" s="26"/>
      <c r="G82" s="26"/>
      <c r="J82" s="1208"/>
      <c r="K82" s="97"/>
      <c r="L82" s="1440"/>
      <c r="M82" s="2137"/>
      <c r="N82" s="2137"/>
      <c r="O82" s="2137"/>
      <c r="P82" s="2137">
        <f>+R60+O60</f>
        <v>587707.11560000002</v>
      </c>
      <c r="R82" s="26"/>
    </row>
    <row r="83" spans="4:23" s="18" customFormat="1">
      <c r="D83" s="97"/>
      <c r="E83" s="26"/>
      <c r="F83" s="26"/>
      <c r="G83" s="26"/>
      <c r="H83" s="26"/>
      <c r="I83" s="26"/>
      <c r="J83" s="1208"/>
      <c r="K83" s="1853"/>
      <c r="L83" s="1440"/>
      <c r="M83" s="1734"/>
      <c r="N83" s="524"/>
      <c r="O83" s="524"/>
      <c r="P83" s="524"/>
      <c r="R83" s="26"/>
    </row>
    <row r="84" spans="4:23" s="18" customFormat="1">
      <c r="D84" s="1736"/>
      <c r="E84" s="26"/>
      <c r="F84" s="26">
        <v>457948.8995</v>
      </c>
      <c r="G84" s="26"/>
      <c r="H84" s="26">
        <v>15398736.550000001</v>
      </c>
      <c r="I84" s="26"/>
      <c r="J84" s="1209"/>
      <c r="K84" s="1853">
        <v>616776.95999999996</v>
      </c>
      <c r="L84" s="1440"/>
      <c r="M84" s="524"/>
      <c r="N84" s="1734">
        <f>+M85-N60</f>
        <v>-0.64043927117983523</v>
      </c>
      <c r="O84" s="524">
        <f>+N84*H60</f>
        <v>-368775.91587884986</v>
      </c>
      <c r="P84" s="524"/>
      <c r="S84" s="200"/>
    </row>
    <row r="85" spans="4:23" s="18" customFormat="1">
      <c r="D85" s="97"/>
      <c r="E85" s="26"/>
      <c r="F85" s="26"/>
      <c r="G85" s="26"/>
      <c r="H85" s="26"/>
      <c r="I85" s="26"/>
      <c r="J85" s="1209"/>
      <c r="K85" s="1737"/>
      <c r="L85" s="1738"/>
      <c r="M85" s="524">
        <v>0.3</v>
      </c>
      <c r="N85" s="524"/>
      <c r="O85" s="524"/>
      <c r="P85" s="524"/>
      <c r="R85" s="26"/>
      <c r="S85" s="1831">
        <f>+R64+I64</f>
        <v>686407.20000000007</v>
      </c>
    </row>
    <row r="86" spans="4:23" s="18" customFormat="1">
      <c r="D86" s="97"/>
      <c r="E86" s="1854"/>
      <c r="F86" s="1216"/>
      <c r="G86" s="1216"/>
      <c r="H86" s="26">
        <f>+H84-H60</f>
        <v>14822919.4</v>
      </c>
      <c r="I86" s="26"/>
      <c r="J86" s="1209"/>
      <c r="K86" s="1412">
        <f>+K84-K61</f>
        <v>574267.55398699257</v>
      </c>
      <c r="L86" s="1440"/>
      <c r="M86" s="524"/>
      <c r="N86" s="524"/>
      <c r="O86" s="524"/>
      <c r="P86" s="524"/>
    </row>
    <row r="87" spans="4:23">
      <c r="E87" s="1226">
        <f>+F87*K60</f>
        <v>43387.176955072006</v>
      </c>
      <c r="F87" s="1226">
        <f>+I61/H60</f>
        <v>7.8500006469067476E-2</v>
      </c>
      <c r="H87" s="1741"/>
      <c r="I87" s="1741"/>
      <c r="J87" s="1741"/>
      <c r="K87" s="1322"/>
      <c r="M87" s="1742" t="e">
        <f>SUM(#REF!)</f>
        <v>#REF!</v>
      </c>
      <c r="N87" s="1743" t="e">
        <f>SUM(#REF!)</f>
        <v>#REF!</v>
      </c>
      <c r="O87" s="1743"/>
      <c r="P87" s="1743"/>
      <c r="Q87" s="1743"/>
      <c r="W87" s="1215"/>
    </row>
    <row r="88" spans="4:23">
      <c r="E88" s="1226">
        <f>+F88*K60</f>
        <v>14314.999684033197</v>
      </c>
      <c r="F88" s="1226">
        <f>+I62/H60</f>
        <v>2.5899992732067809E-2</v>
      </c>
      <c r="H88" s="1741"/>
      <c r="I88" s="1741"/>
      <c r="J88" s="1741"/>
      <c r="K88" s="1322">
        <v>5428.7406763147101</v>
      </c>
      <c r="L88" s="1442"/>
      <c r="M88" s="1742"/>
      <c r="N88" s="1743"/>
      <c r="O88" s="1743"/>
      <c r="P88" s="1743"/>
      <c r="Q88" s="1743"/>
      <c r="W88" s="1215"/>
    </row>
    <row r="89" spans="4:23">
      <c r="H89" s="1741"/>
      <c r="I89" s="1741"/>
      <c r="J89" s="1741"/>
      <c r="K89" s="1323"/>
      <c r="L89" s="1442"/>
      <c r="M89" s="1742"/>
      <c r="N89" s="1734" t="e">
        <f>+N87/H60</f>
        <v>#REF!</v>
      </c>
      <c r="O89" s="1743"/>
      <c r="P89" s="1743"/>
      <c r="Q89" s="1743"/>
      <c r="W89" s="1215"/>
    </row>
    <row r="90" spans="4:23" ht="15.6">
      <c r="D90" s="1237"/>
      <c r="H90" s="1741"/>
      <c r="I90" s="1741"/>
      <c r="J90" s="1741"/>
      <c r="K90" s="1302"/>
      <c r="L90" s="1442"/>
      <c r="M90" s="1742"/>
      <c r="N90" s="1743"/>
      <c r="O90" s="1743"/>
      <c r="P90" s="1743"/>
      <c r="Q90" s="1743"/>
      <c r="W90" s="1215"/>
    </row>
    <row r="91" spans="4:23">
      <c r="H91" s="1741"/>
      <c r="I91" s="1741"/>
      <c r="J91" s="1741"/>
      <c r="K91" s="18"/>
      <c r="L91" s="1442"/>
      <c r="M91" s="1742"/>
      <c r="N91" s="1743"/>
      <c r="O91" s="1743"/>
      <c r="P91" s="1743"/>
      <c r="Q91" s="1743"/>
      <c r="W91" s="1215"/>
    </row>
    <row r="92" spans="4:23">
      <c r="H92" s="1741"/>
      <c r="I92" s="1741"/>
      <c r="J92" s="1741"/>
      <c r="K92" s="1741"/>
      <c r="L92" s="1442"/>
      <c r="M92" s="1742"/>
      <c r="N92" s="1743"/>
      <c r="O92" s="1743"/>
      <c r="P92" s="1743"/>
      <c r="Q92" s="1743"/>
      <c r="W92" s="1215"/>
    </row>
    <row r="93" spans="4:23">
      <c r="H93" s="1741"/>
      <c r="I93" s="1741"/>
      <c r="J93" s="1741"/>
      <c r="K93" s="1741"/>
      <c r="L93" s="1442"/>
      <c r="M93" s="1742"/>
      <c r="N93" s="1743"/>
      <c r="O93" s="1743"/>
      <c r="P93" s="1743"/>
      <c r="Q93" s="1743"/>
      <c r="W93" s="1215"/>
    </row>
    <row r="94" spans="4:23">
      <c r="H94" s="1741"/>
      <c r="I94" s="1741"/>
      <c r="J94" s="1741"/>
      <c r="K94" s="1741"/>
      <c r="L94" s="1442"/>
      <c r="M94" s="1742"/>
      <c r="N94" s="1743"/>
      <c r="O94" s="1743"/>
      <c r="P94" s="1743"/>
      <c r="Q94" s="1743"/>
      <c r="W94" s="1215"/>
    </row>
    <row r="95" spans="4:23">
      <c r="H95" s="1741"/>
      <c r="I95" s="1741"/>
      <c r="J95" s="1741"/>
      <c r="K95" s="1741"/>
      <c r="L95" s="1442"/>
      <c r="M95" s="1742"/>
      <c r="N95" s="1743"/>
      <c r="O95" s="1743"/>
      <c r="P95" s="1743"/>
      <c r="Q95" s="1743"/>
      <c r="W95" s="1215"/>
    </row>
    <row r="96" spans="4:23">
      <c r="H96" s="1741"/>
      <c r="I96" s="1741"/>
      <c r="J96" s="1741"/>
      <c r="K96" s="1741"/>
      <c r="L96" s="1442"/>
      <c r="M96" s="1742"/>
      <c r="N96" s="1743"/>
      <c r="O96" s="1743"/>
      <c r="P96" s="1743"/>
      <c r="Q96" s="1743"/>
      <c r="W96" s="1215"/>
    </row>
    <row r="97" spans="8:23">
      <c r="H97" s="1741"/>
      <c r="I97" s="1741"/>
      <c r="J97" s="1741"/>
      <c r="K97" s="1745"/>
      <c r="L97" s="1442"/>
      <c r="M97" s="1742"/>
      <c r="N97" s="1743"/>
      <c r="O97" s="1743"/>
      <c r="P97" s="1743"/>
      <c r="Q97" s="1743"/>
      <c r="W97" s="1215"/>
    </row>
    <row r="98" spans="8:23">
      <c r="H98" s="1741"/>
      <c r="I98" s="1741"/>
      <c r="J98" s="1741"/>
      <c r="K98" s="1741"/>
      <c r="L98" s="1442"/>
      <c r="M98" s="1742"/>
      <c r="N98" s="1743"/>
      <c r="O98" s="1743"/>
      <c r="P98" s="1743"/>
      <c r="Q98" s="1743"/>
      <c r="W98" s="1215"/>
    </row>
  </sheetData>
  <autoFilter ref="L1:L98" xr:uid="{00000000-0009-0000-0000-00001C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P143"/>
  <sheetViews>
    <sheetView tabSelected="1" view="pageBreakPreview" topLeftCell="D6" zoomScale="115" zoomScaleNormal="85" zoomScaleSheetLayoutView="115" workbookViewId="0">
      <selection activeCell="S19" sqref="S19"/>
    </sheetView>
  </sheetViews>
  <sheetFormatPr baseColWidth="10" defaultRowHeight="13.2"/>
  <cols>
    <col min="1" max="1" width="2.5546875" style="2139" customWidth="1"/>
    <col min="2" max="2" width="12" style="1215" customWidth="1"/>
    <col min="3" max="3" width="64.44140625" style="1225" customWidth="1"/>
    <col min="4" max="4" width="10.5546875" style="1218" customWidth="1"/>
    <col min="5" max="5" width="12.5546875" style="1226" customWidth="1"/>
    <col min="6" max="6" width="12.5546875" style="1226" hidden="1" customWidth="1"/>
    <col min="7" max="7" width="12.5546875" style="1481" hidden="1" customWidth="1"/>
    <col min="8" max="8" width="14" style="1226" hidden="1" customWidth="1"/>
    <col min="9" max="10" width="16.88671875" style="1596" hidden="1" customWidth="1"/>
    <col min="11" max="14" width="14" style="1596" hidden="1" customWidth="1"/>
    <col min="15" max="15" width="16.44140625" style="1596" hidden="1" customWidth="1"/>
    <col min="16" max="16" width="14.5546875" style="1596" hidden="1" customWidth="1"/>
    <col min="17" max="17" width="15.109375" style="1596" hidden="1" customWidth="1"/>
    <col min="18" max="18" width="15.109375" style="1596" customWidth="1"/>
    <col min="19" max="19" width="12.5546875" style="1218" customWidth="1"/>
    <col min="20" max="20" width="16.44140625" style="1218" customWidth="1"/>
    <col min="21" max="21" width="12.44140625" style="1438" customWidth="1"/>
    <col min="22" max="22" width="14.5546875" style="1413" customWidth="1"/>
    <col min="23" max="23" width="12" style="1218" customWidth="1"/>
    <col min="24" max="24" width="16.44140625" style="1218" customWidth="1"/>
    <col min="25" max="25" width="13.44140625" style="1218" customWidth="1"/>
    <col min="26" max="26" width="9.44140625" style="1215" customWidth="1"/>
    <col min="27" max="28" width="12.5546875" style="1215" customWidth="1"/>
    <col min="29" max="34" width="13" style="1215" hidden="1" customWidth="1"/>
    <col min="35" max="35" width="10.88671875" style="1218" hidden="1" customWidth="1"/>
    <col min="36" max="36" width="10.88671875" style="1215" hidden="1" customWidth="1"/>
    <col min="37" max="37" width="14.44140625" style="1215" hidden="1" customWidth="1"/>
    <col min="38" max="39" width="10.88671875" style="1215" hidden="1" customWidth="1"/>
    <col min="40" max="40" width="0" style="1215" hidden="1" customWidth="1"/>
    <col min="41" max="265" width="11.5546875" style="1215"/>
    <col min="266" max="266" width="8.5546875" style="1215" customWidth="1"/>
    <col min="267" max="267" width="50" style="1215" customWidth="1"/>
    <col min="268" max="268" width="6.44140625" style="1215" bestFit="1" customWidth="1"/>
    <col min="269" max="270" width="8.5546875" style="1215" customWidth="1"/>
    <col min="271" max="271" width="11.44140625" style="1215" bestFit="1" customWidth="1"/>
    <col min="272" max="272" width="7.5546875" style="1215" bestFit="1" customWidth="1"/>
    <col min="273" max="273" width="11.5546875" style="1215" bestFit="1" customWidth="1"/>
    <col min="274" max="274" width="8" style="1215" bestFit="1" customWidth="1"/>
    <col min="275" max="275" width="11.5546875" style="1215" bestFit="1" customWidth="1"/>
    <col min="276" max="276" width="8.44140625" style="1215" bestFit="1" customWidth="1"/>
    <col min="277" max="277" width="11.5546875" style="1215" bestFit="1" customWidth="1"/>
    <col min="278" max="278" width="8.44140625" style="1215" customWidth="1"/>
    <col min="279" max="279" width="7.44140625" style="1215" bestFit="1" customWidth="1"/>
    <col min="280" max="280" width="11.5546875" style="1215" bestFit="1" customWidth="1"/>
    <col min="281" max="281" width="8.44140625" style="1215" customWidth="1"/>
    <col min="282" max="282" width="13" style="1215" bestFit="1" customWidth="1"/>
    <col min="283" max="521" width="11.5546875" style="1215"/>
    <col min="522" max="522" width="8.5546875" style="1215" customWidth="1"/>
    <col min="523" max="523" width="50" style="1215" customWidth="1"/>
    <col min="524" max="524" width="6.44140625" style="1215" bestFit="1" customWidth="1"/>
    <col min="525" max="526" width="8.5546875" style="1215" customWidth="1"/>
    <col min="527" max="527" width="11.44140625" style="1215" bestFit="1" customWidth="1"/>
    <col min="528" max="528" width="7.5546875" style="1215" bestFit="1" customWidth="1"/>
    <col min="529" max="529" width="11.5546875" style="1215" bestFit="1" customWidth="1"/>
    <col min="530" max="530" width="8" style="1215" bestFit="1" customWidth="1"/>
    <col min="531" max="531" width="11.5546875" style="1215" bestFit="1" customWidth="1"/>
    <col min="532" max="532" width="8.44140625" style="1215" bestFit="1" customWidth="1"/>
    <col min="533" max="533" width="11.5546875" style="1215" bestFit="1" customWidth="1"/>
    <col min="534" max="534" width="8.44140625" style="1215" customWidth="1"/>
    <col min="535" max="535" width="7.44140625" style="1215" bestFit="1" customWidth="1"/>
    <col min="536" max="536" width="11.5546875" style="1215" bestFit="1" customWidth="1"/>
    <col min="537" max="537" width="8.44140625" style="1215" customWidth="1"/>
    <col min="538" max="538" width="13" style="1215" bestFit="1" customWidth="1"/>
    <col min="539" max="777" width="11.5546875" style="1215"/>
    <col min="778" max="778" width="8.5546875" style="1215" customWidth="1"/>
    <col min="779" max="779" width="50" style="1215" customWidth="1"/>
    <col min="780" max="780" width="6.44140625" style="1215" bestFit="1" customWidth="1"/>
    <col min="781" max="782" width="8.5546875" style="1215" customWidth="1"/>
    <col min="783" max="783" width="11.44140625" style="1215" bestFit="1" customWidth="1"/>
    <col min="784" max="784" width="7.5546875" style="1215" bestFit="1" customWidth="1"/>
    <col min="785" max="785" width="11.5546875" style="1215" bestFit="1" customWidth="1"/>
    <col min="786" max="786" width="8" style="1215" bestFit="1" customWidth="1"/>
    <col min="787" max="787" width="11.5546875" style="1215" bestFit="1" customWidth="1"/>
    <col min="788" max="788" width="8.44140625" style="1215" bestFit="1" customWidth="1"/>
    <col min="789" max="789" width="11.5546875" style="1215" bestFit="1" customWidth="1"/>
    <col min="790" max="790" width="8.44140625" style="1215" customWidth="1"/>
    <col min="791" max="791" width="7.44140625" style="1215" bestFit="1" customWidth="1"/>
    <col min="792" max="792" width="11.5546875" style="1215" bestFit="1" customWidth="1"/>
    <col min="793" max="793" width="8.44140625" style="1215" customWidth="1"/>
    <col min="794" max="794" width="13" style="1215" bestFit="1" customWidth="1"/>
    <col min="795" max="1033" width="11.5546875" style="1215"/>
    <col min="1034" max="1034" width="8.5546875" style="1215" customWidth="1"/>
    <col min="1035" max="1035" width="50" style="1215" customWidth="1"/>
    <col min="1036" max="1036" width="6.44140625" style="1215" bestFit="1" customWidth="1"/>
    <col min="1037" max="1038" width="8.5546875" style="1215" customWidth="1"/>
    <col min="1039" max="1039" width="11.44140625" style="1215" bestFit="1" customWidth="1"/>
    <col min="1040" max="1040" width="7.5546875" style="1215" bestFit="1" customWidth="1"/>
    <col min="1041" max="1041" width="11.5546875" style="1215" bestFit="1" customWidth="1"/>
    <col min="1042" max="1042" width="8" style="1215" bestFit="1" customWidth="1"/>
    <col min="1043" max="1043" width="11.5546875" style="1215" bestFit="1" customWidth="1"/>
    <col min="1044" max="1044" width="8.44140625" style="1215" bestFit="1" customWidth="1"/>
    <col min="1045" max="1045" width="11.5546875" style="1215" bestFit="1" customWidth="1"/>
    <col min="1046" max="1046" width="8.44140625" style="1215" customWidth="1"/>
    <col min="1047" max="1047" width="7.44140625" style="1215" bestFit="1" customWidth="1"/>
    <col min="1048" max="1048" width="11.5546875" style="1215" bestFit="1" customWidth="1"/>
    <col min="1049" max="1049" width="8.44140625" style="1215" customWidth="1"/>
    <col min="1050" max="1050" width="13" style="1215" bestFit="1" customWidth="1"/>
    <col min="1051" max="1289" width="11.5546875" style="1215"/>
    <col min="1290" max="1290" width="8.5546875" style="1215" customWidth="1"/>
    <col min="1291" max="1291" width="50" style="1215" customWidth="1"/>
    <col min="1292" max="1292" width="6.44140625" style="1215" bestFit="1" customWidth="1"/>
    <col min="1293" max="1294" width="8.5546875" style="1215" customWidth="1"/>
    <col min="1295" max="1295" width="11.44140625" style="1215" bestFit="1" customWidth="1"/>
    <col min="1296" max="1296" width="7.5546875" style="1215" bestFit="1" customWidth="1"/>
    <col min="1297" max="1297" width="11.5546875" style="1215" bestFit="1" customWidth="1"/>
    <col min="1298" max="1298" width="8" style="1215" bestFit="1" customWidth="1"/>
    <col min="1299" max="1299" width="11.5546875" style="1215" bestFit="1" customWidth="1"/>
    <col min="1300" max="1300" width="8.44140625" style="1215" bestFit="1" customWidth="1"/>
    <col min="1301" max="1301" width="11.5546875" style="1215" bestFit="1" customWidth="1"/>
    <col min="1302" max="1302" width="8.44140625" style="1215" customWidth="1"/>
    <col min="1303" max="1303" width="7.44140625" style="1215" bestFit="1" customWidth="1"/>
    <col min="1304" max="1304" width="11.5546875" style="1215" bestFit="1" customWidth="1"/>
    <col min="1305" max="1305" width="8.44140625" style="1215" customWidth="1"/>
    <col min="1306" max="1306" width="13" style="1215" bestFit="1" customWidth="1"/>
    <col min="1307" max="1545" width="11.5546875" style="1215"/>
    <col min="1546" max="1546" width="8.5546875" style="1215" customWidth="1"/>
    <col min="1547" max="1547" width="50" style="1215" customWidth="1"/>
    <col min="1548" max="1548" width="6.44140625" style="1215" bestFit="1" customWidth="1"/>
    <col min="1549" max="1550" width="8.5546875" style="1215" customWidth="1"/>
    <col min="1551" max="1551" width="11.44140625" style="1215" bestFit="1" customWidth="1"/>
    <col min="1552" max="1552" width="7.5546875" style="1215" bestFit="1" customWidth="1"/>
    <col min="1553" max="1553" width="11.5546875" style="1215" bestFit="1" customWidth="1"/>
    <col min="1554" max="1554" width="8" style="1215" bestFit="1" customWidth="1"/>
    <col min="1555" max="1555" width="11.5546875" style="1215" bestFit="1" customWidth="1"/>
    <col min="1556" max="1556" width="8.44140625" style="1215" bestFit="1" customWidth="1"/>
    <col min="1557" max="1557" width="11.5546875" style="1215" bestFit="1" customWidth="1"/>
    <col min="1558" max="1558" width="8.44140625" style="1215" customWidth="1"/>
    <col min="1559" max="1559" width="7.44140625" style="1215" bestFit="1" customWidth="1"/>
    <col min="1560" max="1560" width="11.5546875" style="1215" bestFit="1" customWidth="1"/>
    <col min="1561" max="1561" width="8.44140625" style="1215" customWidth="1"/>
    <col min="1562" max="1562" width="13" style="1215" bestFit="1" customWidth="1"/>
    <col min="1563" max="1801" width="11.5546875" style="1215"/>
    <col min="1802" max="1802" width="8.5546875" style="1215" customWidth="1"/>
    <col min="1803" max="1803" width="50" style="1215" customWidth="1"/>
    <col min="1804" max="1804" width="6.44140625" style="1215" bestFit="1" customWidth="1"/>
    <col min="1805" max="1806" width="8.5546875" style="1215" customWidth="1"/>
    <col min="1807" max="1807" width="11.44140625" style="1215" bestFit="1" customWidth="1"/>
    <col min="1808" max="1808" width="7.5546875" style="1215" bestFit="1" customWidth="1"/>
    <col min="1809" max="1809" width="11.5546875" style="1215" bestFit="1" customWidth="1"/>
    <col min="1810" max="1810" width="8" style="1215" bestFit="1" customWidth="1"/>
    <col min="1811" max="1811" width="11.5546875" style="1215" bestFit="1" customWidth="1"/>
    <col min="1812" max="1812" width="8.44140625" style="1215" bestFit="1" customWidth="1"/>
    <col min="1813" max="1813" width="11.5546875" style="1215" bestFit="1" customWidth="1"/>
    <col min="1814" max="1814" width="8.44140625" style="1215" customWidth="1"/>
    <col min="1815" max="1815" width="7.44140625" style="1215" bestFit="1" customWidth="1"/>
    <col min="1816" max="1816" width="11.5546875" style="1215" bestFit="1" customWidth="1"/>
    <col min="1817" max="1817" width="8.44140625" style="1215" customWidth="1"/>
    <col min="1818" max="1818" width="13" style="1215" bestFit="1" customWidth="1"/>
    <col min="1819" max="2057" width="11.5546875" style="1215"/>
    <col min="2058" max="2058" width="8.5546875" style="1215" customWidth="1"/>
    <col min="2059" max="2059" width="50" style="1215" customWidth="1"/>
    <col min="2060" max="2060" width="6.44140625" style="1215" bestFit="1" customWidth="1"/>
    <col min="2061" max="2062" width="8.5546875" style="1215" customWidth="1"/>
    <col min="2063" max="2063" width="11.44140625" style="1215" bestFit="1" customWidth="1"/>
    <col min="2064" max="2064" width="7.5546875" style="1215" bestFit="1" customWidth="1"/>
    <col min="2065" max="2065" width="11.5546875" style="1215" bestFit="1" customWidth="1"/>
    <col min="2066" max="2066" width="8" style="1215" bestFit="1" customWidth="1"/>
    <col min="2067" max="2067" width="11.5546875" style="1215" bestFit="1" customWidth="1"/>
    <col min="2068" max="2068" width="8.44140625" style="1215" bestFit="1" customWidth="1"/>
    <col min="2069" max="2069" width="11.5546875" style="1215" bestFit="1" customWidth="1"/>
    <col min="2070" max="2070" width="8.44140625" style="1215" customWidth="1"/>
    <col min="2071" max="2071" width="7.44140625" style="1215" bestFit="1" customWidth="1"/>
    <col min="2072" max="2072" width="11.5546875" style="1215" bestFit="1" customWidth="1"/>
    <col min="2073" max="2073" width="8.44140625" style="1215" customWidth="1"/>
    <col min="2074" max="2074" width="13" style="1215" bestFit="1" customWidth="1"/>
    <col min="2075" max="2313" width="11.5546875" style="1215"/>
    <col min="2314" max="2314" width="8.5546875" style="1215" customWidth="1"/>
    <col min="2315" max="2315" width="50" style="1215" customWidth="1"/>
    <col min="2316" max="2316" width="6.44140625" style="1215" bestFit="1" customWidth="1"/>
    <col min="2317" max="2318" width="8.5546875" style="1215" customWidth="1"/>
    <col min="2319" max="2319" width="11.44140625" style="1215" bestFit="1" customWidth="1"/>
    <col min="2320" max="2320" width="7.5546875" style="1215" bestFit="1" customWidth="1"/>
    <col min="2321" max="2321" width="11.5546875" style="1215" bestFit="1" customWidth="1"/>
    <col min="2322" max="2322" width="8" style="1215" bestFit="1" customWidth="1"/>
    <col min="2323" max="2323" width="11.5546875" style="1215" bestFit="1" customWidth="1"/>
    <col min="2324" max="2324" width="8.44140625" style="1215" bestFit="1" customWidth="1"/>
    <col min="2325" max="2325" width="11.5546875" style="1215" bestFit="1" customWidth="1"/>
    <col min="2326" max="2326" width="8.44140625" style="1215" customWidth="1"/>
    <col min="2327" max="2327" width="7.44140625" style="1215" bestFit="1" customWidth="1"/>
    <col min="2328" max="2328" width="11.5546875" style="1215" bestFit="1" customWidth="1"/>
    <col min="2329" max="2329" width="8.44140625" style="1215" customWidth="1"/>
    <col min="2330" max="2330" width="13" style="1215" bestFit="1" customWidth="1"/>
    <col min="2331" max="2569" width="11.5546875" style="1215"/>
    <col min="2570" max="2570" width="8.5546875" style="1215" customWidth="1"/>
    <col min="2571" max="2571" width="50" style="1215" customWidth="1"/>
    <col min="2572" max="2572" width="6.44140625" style="1215" bestFit="1" customWidth="1"/>
    <col min="2573" max="2574" width="8.5546875" style="1215" customWidth="1"/>
    <col min="2575" max="2575" width="11.44140625" style="1215" bestFit="1" customWidth="1"/>
    <col min="2576" max="2576" width="7.5546875" style="1215" bestFit="1" customWidth="1"/>
    <col min="2577" max="2577" width="11.5546875" style="1215" bestFit="1" customWidth="1"/>
    <col min="2578" max="2578" width="8" style="1215" bestFit="1" customWidth="1"/>
    <col min="2579" max="2579" width="11.5546875" style="1215" bestFit="1" customWidth="1"/>
    <col min="2580" max="2580" width="8.44140625" style="1215" bestFit="1" customWidth="1"/>
    <col min="2581" max="2581" width="11.5546875" style="1215" bestFit="1" customWidth="1"/>
    <col min="2582" max="2582" width="8.44140625" style="1215" customWidth="1"/>
    <col min="2583" max="2583" width="7.44140625" style="1215" bestFit="1" customWidth="1"/>
    <col min="2584" max="2584" width="11.5546875" style="1215" bestFit="1" customWidth="1"/>
    <col min="2585" max="2585" width="8.44140625" style="1215" customWidth="1"/>
    <col min="2586" max="2586" width="13" style="1215" bestFit="1" customWidth="1"/>
    <col min="2587" max="2825" width="11.5546875" style="1215"/>
    <col min="2826" max="2826" width="8.5546875" style="1215" customWidth="1"/>
    <col min="2827" max="2827" width="50" style="1215" customWidth="1"/>
    <col min="2828" max="2828" width="6.44140625" style="1215" bestFit="1" customWidth="1"/>
    <col min="2829" max="2830" width="8.5546875" style="1215" customWidth="1"/>
    <col min="2831" max="2831" width="11.44140625" style="1215" bestFit="1" customWidth="1"/>
    <col min="2832" max="2832" width="7.5546875" style="1215" bestFit="1" customWidth="1"/>
    <col min="2833" max="2833" width="11.5546875" style="1215" bestFit="1" customWidth="1"/>
    <col min="2834" max="2834" width="8" style="1215" bestFit="1" customWidth="1"/>
    <col min="2835" max="2835" width="11.5546875" style="1215" bestFit="1" customWidth="1"/>
    <col min="2836" max="2836" width="8.44140625" style="1215" bestFit="1" customWidth="1"/>
    <col min="2837" max="2837" width="11.5546875" style="1215" bestFit="1" customWidth="1"/>
    <col min="2838" max="2838" width="8.44140625" style="1215" customWidth="1"/>
    <col min="2839" max="2839" width="7.44140625" style="1215" bestFit="1" customWidth="1"/>
    <col min="2840" max="2840" width="11.5546875" style="1215" bestFit="1" customWidth="1"/>
    <col min="2841" max="2841" width="8.44140625" style="1215" customWidth="1"/>
    <col min="2842" max="2842" width="13" style="1215" bestFit="1" customWidth="1"/>
    <col min="2843" max="3081" width="11.5546875" style="1215"/>
    <col min="3082" max="3082" width="8.5546875" style="1215" customWidth="1"/>
    <col min="3083" max="3083" width="50" style="1215" customWidth="1"/>
    <col min="3084" max="3084" width="6.44140625" style="1215" bestFit="1" customWidth="1"/>
    <col min="3085" max="3086" width="8.5546875" style="1215" customWidth="1"/>
    <col min="3087" max="3087" width="11.44140625" style="1215" bestFit="1" customWidth="1"/>
    <col min="3088" max="3088" width="7.5546875" style="1215" bestFit="1" customWidth="1"/>
    <col min="3089" max="3089" width="11.5546875" style="1215" bestFit="1" customWidth="1"/>
    <col min="3090" max="3090" width="8" style="1215" bestFit="1" customWidth="1"/>
    <col min="3091" max="3091" width="11.5546875" style="1215" bestFit="1" customWidth="1"/>
    <col min="3092" max="3092" width="8.44140625" style="1215" bestFit="1" customWidth="1"/>
    <col min="3093" max="3093" width="11.5546875" style="1215" bestFit="1" customWidth="1"/>
    <col min="3094" max="3094" width="8.44140625" style="1215" customWidth="1"/>
    <col min="3095" max="3095" width="7.44140625" style="1215" bestFit="1" customWidth="1"/>
    <col min="3096" max="3096" width="11.5546875" style="1215" bestFit="1" customWidth="1"/>
    <col min="3097" max="3097" width="8.44140625" style="1215" customWidth="1"/>
    <col min="3098" max="3098" width="13" style="1215" bestFit="1" customWidth="1"/>
    <col min="3099" max="3337" width="11.5546875" style="1215"/>
    <col min="3338" max="3338" width="8.5546875" style="1215" customWidth="1"/>
    <col min="3339" max="3339" width="50" style="1215" customWidth="1"/>
    <col min="3340" max="3340" width="6.44140625" style="1215" bestFit="1" customWidth="1"/>
    <col min="3341" max="3342" width="8.5546875" style="1215" customWidth="1"/>
    <col min="3343" max="3343" width="11.44140625" style="1215" bestFit="1" customWidth="1"/>
    <col min="3344" max="3344" width="7.5546875" style="1215" bestFit="1" customWidth="1"/>
    <col min="3345" max="3345" width="11.5546875" style="1215" bestFit="1" customWidth="1"/>
    <col min="3346" max="3346" width="8" style="1215" bestFit="1" customWidth="1"/>
    <col min="3347" max="3347" width="11.5546875" style="1215" bestFit="1" customWidth="1"/>
    <col min="3348" max="3348" width="8.44140625" style="1215" bestFit="1" customWidth="1"/>
    <col min="3349" max="3349" width="11.5546875" style="1215" bestFit="1" customWidth="1"/>
    <col min="3350" max="3350" width="8.44140625" style="1215" customWidth="1"/>
    <col min="3351" max="3351" width="7.44140625" style="1215" bestFit="1" customWidth="1"/>
    <col min="3352" max="3352" width="11.5546875" style="1215" bestFit="1" customWidth="1"/>
    <col min="3353" max="3353" width="8.44140625" style="1215" customWidth="1"/>
    <col min="3354" max="3354" width="13" style="1215" bestFit="1" customWidth="1"/>
    <col min="3355" max="3593" width="11.5546875" style="1215"/>
    <col min="3594" max="3594" width="8.5546875" style="1215" customWidth="1"/>
    <col min="3595" max="3595" width="50" style="1215" customWidth="1"/>
    <col min="3596" max="3596" width="6.44140625" style="1215" bestFit="1" customWidth="1"/>
    <col min="3597" max="3598" width="8.5546875" style="1215" customWidth="1"/>
    <col min="3599" max="3599" width="11.44140625" style="1215" bestFit="1" customWidth="1"/>
    <col min="3600" max="3600" width="7.5546875" style="1215" bestFit="1" customWidth="1"/>
    <col min="3601" max="3601" width="11.5546875" style="1215" bestFit="1" customWidth="1"/>
    <col min="3602" max="3602" width="8" style="1215" bestFit="1" customWidth="1"/>
    <col min="3603" max="3603" width="11.5546875" style="1215" bestFit="1" customWidth="1"/>
    <col min="3604" max="3604" width="8.44140625" style="1215" bestFit="1" customWidth="1"/>
    <col min="3605" max="3605" width="11.5546875" style="1215" bestFit="1" customWidth="1"/>
    <col min="3606" max="3606" width="8.44140625" style="1215" customWidth="1"/>
    <col min="3607" max="3607" width="7.44140625" style="1215" bestFit="1" customWidth="1"/>
    <col min="3608" max="3608" width="11.5546875" style="1215" bestFit="1" customWidth="1"/>
    <col min="3609" max="3609" width="8.44140625" style="1215" customWidth="1"/>
    <col min="3610" max="3610" width="13" style="1215" bestFit="1" customWidth="1"/>
    <col min="3611" max="3849" width="11.5546875" style="1215"/>
    <col min="3850" max="3850" width="8.5546875" style="1215" customWidth="1"/>
    <col min="3851" max="3851" width="50" style="1215" customWidth="1"/>
    <col min="3852" max="3852" width="6.44140625" style="1215" bestFit="1" customWidth="1"/>
    <col min="3853" max="3854" width="8.5546875" style="1215" customWidth="1"/>
    <col min="3855" max="3855" width="11.44140625" style="1215" bestFit="1" customWidth="1"/>
    <col min="3856" max="3856" width="7.5546875" style="1215" bestFit="1" customWidth="1"/>
    <col min="3857" max="3857" width="11.5546875" style="1215" bestFit="1" customWidth="1"/>
    <col min="3858" max="3858" width="8" style="1215" bestFit="1" customWidth="1"/>
    <col min="3859" max="3859" width="11.5546875" style="1215" bestFit="1" customWidth="1"/>
    <col min="3860" max="3860" width="8.44140625" style="1215" bestFit="1" customWidth="1"/>
    <col min="3861" max="3861" width="11.5546875" style="1215" bestFit="1" customWidth="1"/>
    <col min="3862" max="3862" width="8.44140625" style="1215" customWidth="1"/>
    <col min="3863" max="3863" width="7.44140625" style="1215" bestFit="1" customWidth="1"/>
    <col min="3864" max="3864" width="11.5546875" style="1215" bestFit="1" customWidth="1"/>
    <col min="3865" max="3865" width="8.44140625" style="1215" customWidth="1"/>
    <col min="3866" max="3866" width="13" style="1215" bestFit="1" customWidth="1"/>
    <col min="3867" max="4105" width="11.5546875" style="1215"/>
    <col min="4106" max="4106" width="8.5546875" style="1215" customWidth="1"/>
    <col min="4107" max="4107" width="50" style="1215" customWidth="1"/>
    <col min="4108" max="4108" width="6.44140625" style="1215" bestFit="1" customWidth="1"/>
    <col min="4109" max="4110" width="8.5546875" style="1215" customWidth="1"/>
    <col min="4111" max="4111" width="11.44140625" style="1215" bestFit="1" customWidth="1"/>
    <col min="4112" max="4112" width="7.5546875" style="1215" bestFit="1" customWidth="1"/>
    <col min="4113" max="4113" width="11.5546875" style="1215" bestFit="1" customWidth="1"/>
    <col min="4114" max="4114" width="8" style="1215" bestFit="1" customWidth="1"/>
    <col min="4115" max="4115" width="11.5546875" style="1215" bestFit="1" customWidth="1"/>
    <col min="4116" max="4116" width="8.44140625" style="1215" bestFit="1" customWidth="1"/>
    <col min="4117" max="4117" width="11.5546875" style="1215" bestFit="1" customWidth="1"/>
    <col min="4118" max="4118" width="8.44140625" style="1215" customWidth="1"/>
    <col min="4119" max="4119" width="7.44140625" style="1215" bestFit="1" customWidth="1"/>
    <col min="4120" max="4120" width="11.5546875" style="1215" bestFit="1" customWidth="1"/>
    <col min="4121" max="4121" width="8.44140625" style="1215" customWidth="1"/>
    <col min="4122" max="4122" width="13" style="1215" bestFit="1" customWidth="1"/>
    <col min="4123" max="4361" width="11.5546875" style="1215"/>
    <col min="4362" max="4362" width="8.5546875" style="1215" customWidth="1"/>
    <col min="4363" max="4363" width="50" style="1215" customWidth="1"/>
    <col min="4364" max="4364" width="6.44140625" style="1215" bestFit="1" customWidth="1"/>
    <col min="4365" max="4366" width="8.5546875" style="1215" customWidth="1"/>
    <col min="4367" max="4367" width="11.44140625" style="1215" bestFit="1" customWidth="1"/>
    <col min="4368" max="4368" width="7.5546875" style="1215" bestFit="1" customWidth="1"/>
    <col min="4369" max="4369" width="11.5546875" style="1215" bestFit="1" customWidth="1"/>
    <col min="4370" max="4370" width="8" style="1215" bestFit="1" customWidth="1"/>
    <col min="4371" max="4371" width="11.5546875" style="1215" bestFit="1" customWidth="1"/>
    <col min="4372" max="4372" width="8.44140625" style="1215" bestFit="1" customWidth="1"/>
    <col min="4373" max="4373" width="11.5546875" style="1215" bestFit="1" customWidth="1"/>
    <col min="4374" max="4374" width="8.44140625" style="1215" customWidth="1"/>
    <col min="4375" max="4375" width="7.44140625" style="1215" bestFit="1" customWidth="1"/>
    <col min="4376" max="4376" width="11.5546875" style="1215" bestFit="1" customWidth="1"/>
    <col min="4377" max="4377" width="8.44140625" style="1215" customWidth="1"/>
    <col min="4378" max="4378" width="13" style="1215" bestFit="1" customWidth="1"/>
    <col min="4379" max="4617" width="11.5546875" style="1215"/>
    <col min="4618" max="4618" width="8.5546875" style="1215" customWidth="1"/>
    <col min="4619" max="4619" width="50" style="1215" customWidth="1"/>
    <col min="4620" max="4620" width="6.44140625" style="1215" bestFit="1" customWidth="1"/>
    <col min="4621" max="4622" width="8.5546875" style="1215" customWidth="1"/>
    <col min="4623" max="4623" width="11.44140625" style="1215" bestFit="1" customWidth="1"/>
    <col min="4624" max="4624" width="7.5546875" style="1215" bestFit="1" customWidth="1"/>
    <col min="4625" max="4625" width="11.5546875" style="1215" bestFit="1" customWidth="1"/>
    <col min="4626" max="4626" width="8" style="1215" bestFit="1" customWidth="1"/>
    <col min="4627" max="4627" width="11.5546875" style="1215" bestFit="1" customWidth="1"/>
    <col min="4628" max="4628" width="8.44140625" style="1215" bestFit="1" customWidth="1"/>
    <col min="4629" max="4629" width="11.5546875" style="1215" bestFit="1" customWidth="1"/>
    <col min="4630" max="4630" width="8.44140625" style="1215" customWidth="1"/>
    <col min="4631" max="4631" width="7.44140625" style="1215" bestFit="1" customWidth="1"/>
    <col min="4632" max="4632" width="11.5546875" style="1215" bestFit="1" customWidth="1"/>
    <col min="4633" max="4633" width="8.44140625" style="1215" customWidth="1"/>
    <col min="4634" max="4634" width="13" style="1215" bestFit="1" customWidth="1"/>
    <col min="4635" max="4873" width="11.5546875" style="1215"/>
    <col min="4874" max="4874" width="8.5546875" style="1215" customWidth="1"/>
    <col min="4875" max="4875" width="50" style="1215" customWidth="1"/>
    <col min="4876" max="4876" width="6.44140625" style="1215" bestFit="1" customWidth="1"/>
    <col min="4877" max="4878" width="8.5546875" style="1215" customWidth="1"/>
    <col min="4879" max="4879" width="11.44140625" style="1215" bestFit="1" customWidth="1"/>
    <col min="4880" max="4880" width="7.5546875" style="1215" bestFit="1" customWidth="1"/>
    <col min="4881" max="4881" width="11.5546875" style="1215" bestFit="1" customWidth="1"/>
    <col min="4882" max="4882" width="8" style="1215" bestFit="1" customWidth="1"/>
    <col min="4883" max="4883" width="11.5546875" style="1215" bestFit="1" customWidth="1"/>
    <col min="4884" max="4884" width="8.44140625" style="1215" bestFit="1" customWidth="1"/>
    <col min="4885" max="4885" width="11.5546875" style="1215" bestFit="1" customWidth="1"/>
    <col min="4886" max="4886" width="8.44140625" style="1215" customWidth="1"/>
    <col min="4887" max="4887" width="7.44140625" style="1215" bestFit="1" customWidth="1"/>
    <col min="4888" max="4888" width="11.5546875" style="1215" bestFit="1" customWidth="1"/>
    <col min="4889" max="4889" width="8.44140625" style="1215" customWidth="1"/>
    <col min="4890" max="4890" width="13" style="1215" bestFit="1" customWidth="1"/>
    <col min="4891" max="5129" width="11.5546875" style="1215"/>
    <col min="5130" max="5130" width="8.5546875" style="1215" customWidth="1"/>
    <col min="5131" max="5131" width="50" style="1215" customWidth="1"/>
    <col min="5132" max="5132" width="6.44140625" style="1215" bestFit="1" customWidth="1"/>
    <col min="5133" max="5134" width="8.5546875" style="1215" customWidth="1"/>
    <col min="5135" max="5135" width="11.44140625" style="1215" bestFit="1" customWidth="1"/>
    <col min="5136" max="5136" width="7.5546875" style="1215" bestFit="1" customWidth="1"/>
    <col min="5137" max="5137" width="11.5546875" style="1215" bestFit="1" customWidth="1"/>
    <col min="5138" max="5138" width="8" style="1215" bestFit="1" customWidth="1"/>
    <col min="5139" max="5139" width="11.5546875" style="1215" bestFit="1" customWidth="1"/>
    <col min="5140" max="5140" width="8.44140625" style="1215" bestFit="1" customWidth="1"/>
    <col min="5141" max="5141" width="11.5546875" style="1215" bestFit="1" customWidth="1"/>
    <col min="5142" max="5142" width="8.44140625" style="1215" customWidth="1"/>
    <col min="5143" max="5143" width="7.44140625" style="1215" bestFit="1" customWidth="1"/>
    <col min="5144" max="5144" width="11.5546875" style="1215" bestFit="1" customWidth="1"/>
    <col min="5145" max="5145" width="8.44140625" style="1215" customWidth="1"/>
    <col min="5146" max="5146" width="13" style="1215" bestFit="1" customWidth="1"/>
    <col min="5147" max="5385" width="11.5546875" style="1215"/>
    <col min="5386" max="5386" width="8.5546875" style="1215" customWidth="1"/>
    <col min="5387" max="5387" width="50" style="1215" customWidth="1"/>
    <col min="5388" max="5388" width="6.44140625" style="1215" bestFit="1" customWidth="1"/>
    <col min="5389" max="5390" width="8.5546875" style="1215" customWidth="1"/>
    <col min="5391" max="5391" width="11.44140625" style="1215" bestFit="1" customWidth="1"/>
    <col min="5392" max="5392" width="7.5546875" style="1215" bestFit="1" customWidth="1"/>
    <col min="5393" max="5393" width="11.5546875" style="1215" bestFit="1" customWidth="1"/>
    <col min="5394" max="5394" width="8" style="1215" bestFit="1" customWidth="1"/>
    <col min="5395" max="5395" width="11.5546875" style="1215" bestFit="1" customWidth="1"/>
    <col min="5396" max="5396" width="8.44140625" style="1215" bestFit="1" customWidth="1"/>
    <col min="5397" max="5397" width="11.5546875" style="1215" bestFit="1" customWidth="1"/>
    <col min="5398" max="5398" width="8.44140625" style="1215" customWidth="1"/>
    <col min="5399" max="5399" width="7.44140625" style="1215" bestFit="1" customWidth="1"/>
    <col min="5400" max="5400" width="11.5546875" style="1215" bestFit="1" customWidth="1"/>
    <col min="5401" max="5401" width="8.44140625" style="1215" customWidth="1"/>
    <col min="5402" max="5402" width="13" style="1215" bestFit="1" customWidth="1"/>
    <col min="5403" max="5641" width="11.5546875" style="1215"/>
    <col min="5642" max="5642" width="8.5546875" style="1215" customWidth="1"/>
    <col min="5643" max="5643" width="50" style="1215" customWidth="1"/>
    <col min="5644" max="5644" width="6.44140625" style="1215" bestFit="1" customWidth="1"/>
    <col min="5645" max="5646" width="8.5546875" style="1215" customWidth="1"/>
    <col min="5647" max="5647" width="11.44140625" style="1215" bestFit="1" customWidth="1"/>
    <col min="5648" max="5648" width="7.5546875" style="1215" bestFit="1" customWidth="1"/>
    <col min="5649" max="5649" width="11.5546875" style="1215" bestFit="1" customWidth="1"/>
    <col min="5650" max="5650" width="8" style="1215" bestFit="1" customWidth="1"/>
    <col min="5651" max="5651" width="11.5546875" style="1215" bestFit="1" customWidth="1"/>
    <col min="5652" max="5652" width="8.44140625" style="1215" bestFit="1" customWidth="1"/>
    <col min="5653" max="5653" width="11.5546875" style="1215" bestFit="1" customWidth="1"/>
    <col min="5654" max="5654" width="8.44140625" style="1215" customWidth="1"/>
    <col min="5655" max="5655" width="7.44140625" style="1215" bestFit="1" customWidth="1"/>
    <col min="5656" max="5656" width="11.5546875" style="1215" bestFit="1" customWidth="1"/>
    <col min="5657" max="5657" width="8.44140625" style="1215" customWidth="1"/>
    <col min="5658" max="5658" width="13" style="1215" bestFit="1" customWidth="1"/>
    <col min="5659" max="5897" width="11.5546875" style="1215"/>
    <col min="5898" max="5898" width="8.5546875" style="1215" customWidth="1"/>
    <col min="5899" max="5899" width="50" style="1215" customWidth="1"/>
    <col min="5900" max="5900" width="6.44140625" style="1215" bestFit="1" customWidth="1"/>
    <col min="5901" max="5902" width="8.5546875" style="1215" customWidth="1"/>
    <col min="5903" max="5903" width="11.44140625" style="1215" bestFit="1" customWidth="1"/>
    <col min="5904" max="5904" width="7.5546875" style="1215" bestFit="1" customWidth="1"/>
    <col min="5905" max="5905" width="11.5546875" style="1215" bestFit="1" customWidth="1"/>
    <col min="5906" max="5906" width="8" style="1215" bestFit="1" customWidth="1"/>
    <col min="5907" max="5907" width="11.5546875" style="1215" bestFit="1" customWidth="1"/>
    <col min="5908" max="5908" width="8.44140625" style="1215" bestFit="1" customWidth="1"/>
    <col min="5909" max="5909" width="11.5546875" style="1215" bestFit="1" customWidth="1"/>
    <col min="5910" max="5910" width="8.44140625" style="1215" customWidth="1"/>
    <col min="5911" max="5911" width="7.44140625" style="1215" bestFit="1" customWidth="1"/>
    <col min="5912" max="5912" width="11.5546875" style="1215" bestFit="1" customWidth="1"/>
    <col min="5913" max="5913" width="8.44140625" style="1215" customWidth="1"/>
    <col min="5914" max="5914" width="13" style="1215" bestFit="1" customWidth="1"/>
    <col min="5915" max="6153" width="11.5546875" style="1215"/>
    <col min="6154" max="6154" width="8.5546875" style="1215" customWidth="1"/>
    <col min="6155" max="6155" width="50" style="1215" customWidth="1"/>
    <col min="6156" max="6156" width="6.44140625" style="1215" bestFit="1" customWidth="1"/>
    <col min="6157" max="6158" width="8.5546875" style="1215" customWidth="1"/>
    <col min="6159" max="6159" width="11.44140625" style="1215" bestFit="1" customWidth="1"/>
    <col min="6160" max="6160" width="7.5546875" style="1215" bestFit="1" customWidth="1"/>
    <col min="6161" max="6161" width="11.5546875" style="1215" bestFit="1" customWidth="1"/>
    <col min="6162" max="6162" width="8" style="1215" bestFit="1" customWidth="1"/>
    <col min="6163" max="6163" width="11.5546875" style="1215" bestFit="1" customWidth="1"/>
    <col min="6164" max="6164" width="8.44140625" style="1215" bestFit="1" customWidth="1"/>
    <col min="6165" max="6165" width="11.5546875" style="1215" bestFit="1" customWidth="1"/>
    <col min="6166" max="6166" width="8.44140625" style="1215" customWidth="1"/>
    <col min="6167" max="6167" width="7.44140625" style="1215" bestFit="1" customWidth="1"/>
    <col min="6168" max="6168" width="11.5546875" style="1215" bestFit="1" customWidth="1"/>
    <col min="6169" max="6169" width="8.44140625" style="1215" customWidth="1"/>
    <col min="6170" max="6170" width="13" style="1215" bestFit="1" customWidth="1"/>
    <col min="6171" max="6409" width="11.5546875" style="1215"/>
    <col min="6410" max="6410" width="8.5546875" style="1215" customWidth="1"/>
    <col min="6411" max="6411" width="50" style="1215" customWidth="1"/>
    <col min="6412" max="6412" width="6.44140625" style="1215" bestFit="1" customWidth="1"/>
    <col min="6413" max="6414" width="8.5546875" style="1215" customWidth="1"/>
    <col min="6415" max="6415" width="11.44140625" style="1215" bestFit="1" customWidth="1"/>
    <col min="6416" max="6416" width="7.5546875" style="1215" bestFit="1" customWidth="1"/>
    <col min="6417" max="6417" width="11.5546875" style="1215" bestFit="1" customWidth="1"/>
    <col min="6418" max="6418" width="8" style="1215" bestFit="1" customWidth="1"/>
    <col min="6419" max="6419" width="11.5546875" style="1215" bestFit="1" customWidth="1"/>
    <col min="6420" max="6420" width="8.44140625" style="1215" bestFit="1" customWidth="1"/>
    <col min="6421" max="6421" width="11.5546875" style="1215" bestFit="1" customWidth="1"/>
    <col min="6422" max="6422" width="8.44140625" style="1215" customWidth="1"/>
    <col min="6423" max="6423" width="7.44140625" style="1215" bestFit="1" customWidth="1"/>
    <col min="6424" max="6424" width="11.5546875" style="1215" bestFit="1" customWidth="1"/>
    <col min="6425" max="6425" width="8.44140625" style="1215" customWidth="1"/>
    <col min="6426" max="6426" width="13" style="1215" bestFit="1" customWidth="1"/>
    <col min="6427" max="6665" width="11.5546875" style="1215"/>
    <col min="6666" max="6666" width="8.5546875" style="1215" customWidth="1"/>
    <col min="6667" max="6667" width="50" style="1215" customWidth="1"/>
    <col min="6668" max="6668" width="6.44140625" style="1215" bestFit="1" customWidth="1"/>
    <col min="6669" max="6670" width="8.5546875" style="1215" customWidth="1"/>
    <col min="6671" max="6671" width="11.44140625" style="1215" bestFit="1" customWidth="1"/>
    <col min="6672" max="6672" width="7.5546875" style="1215" bestFit="1" customWidth="1"/>
    <col min="6673" max="6673" width="11.5546875" style="1215" bestFit="1" customWidth="1"/>
    <col min="6674" max="6674" width="8" style="1215" bestFit="1" customWidth="1"/>
    <col min="6675" max="6675" width="11.5546875" style="1215" bestFit="1" customWidth="1"/>
    <col min="6676" max="6676" width="8.44140625" style="1215" bestFit="1" customWidth="1"/>
    <col min="6677" max="6677" width="11.5546875" style="1215" bestFit="1" customWidth="1"/>
    <col min="6678" max="6678" width="8.44140625" style="1215" customWidth="1"/>
    <col min="6679" max="6679" width="7.44140625" style="1215" bestFit="1" customWidth="1"/>
    <col min="6680" max="6680" width="11.5546875" style="1215" bestFit="1" customWidth="1"/>
    <col min="6681" max="6681" width="8.44140625" style="1215" customWidth="1"/>
    <col min="6682" max="6682" width="13" style="1215" bestFit="1" customWidth="1"/>
    <col min="6683" max="6921" width="11.5546875" style="1215"/>
    <col min="6922" max="6922" width="8.5546875" style="1215" customWidth="1"/>
    <col min="6923" max="6923" width="50" style="1215" customWidth="1"/>
    <col min="6924" max="6924" width="6.44140625" style="1215" bestFit="1" customWidth="1"/>
    <col min="6925" max="6926" width="8.5546875" style="1215" customWidth="1"/>
    <col min="6927" max="6927" width="11.44140625" style="1215" bestFit="1" customWidth="1"/>
    <col min="6928" max="6928" width="7.5546875" style="1215" bestFit="1" customWidth="1"/>
    <col min="6929" max="6929" width="11.5546875" style="1215" bestFit="1" customWidth="1"/>
    <col min="6930" max="6930" width="8" style="1215" bestFit="1" customWidth="1"/>
    <col min="6931" max="6931" width="11.5546875" style="1215" bestFit="1" customWidth="1"/>
    <col min="6932" max="6932" width="8.44140625" style="1215" bestFit="1" customWidth="1"/>
    <col min="6933" max="6933" width="11.5546875" style="1215" bestFit="1" customWidth="1"/>
    <col min="6934" max="6934" width="8.44140625" style="1215" customWidth="1"/>
    <col min="6935" max="6935" width="7.44140625" style="1215" bestFit="1" customWidth="1"/>
    <col min="6936" max="6936" width="11.5546875" style="1215" bestFit="1" customWidth="1"/>
    <col min="6937" max="6937" width="8.44140625" style="1215" customWidth="1"/>
    <col min="6938" max="6938" width="13" style="1215" bestFit="1" customWidth="1"/>
    <col min="6939" max="7177" width="11.5546875" style="1215"/>
    <col min="7178" max="7178" width="8.5546875" style="1215" customWidth="1"/>
    <col min="7179" max="7179" width="50" style="1215" customWidth="1"/>
    <col min="7180" max="7180" width="6.44140625" style="1215" bestFit="1" customWidth="1"/>
    <col min="7181" max="7182" width="8.5546875" style="1215" customWidth="1"/>
    <col min="7183" max="7183" width="11.44140625" style="1215" bestFit="1" customWidth="1"/>
    <col min="7184" max="7184" width="7.5546875" style="1215" bestFit="1" customWidth="1"/>
    <col min="7185" max="7185" width="11.5546875" style="1215" bestFit="1" customWidth="1"/>
    <col min="7186" max="7186" width="8" style="1215" bestFit="1" customWidth="1"/>
    <col min="7187" max="7187" width="11.5546875" style="1215" bestFit="1" customWidth="1"/>
    <col min="7188" max="7188" width="8.44140625" style="1215" bestFit="1" customWidth="1"/>
    <col min="7189" max="7189" width="11.5546875" style="1215" bestFit="1" customWidth="1"/>
    <col min="7190" max="7190" width="8.44140625" style="1215" customWidth="1"/>
    <col min="7191" max="7191" width="7.44140625" style="1215" bestFit="1" customWidth="1"/>
    <col min="7192" max="7192" width="11.5546875" style="1215" bestFit="1" customWidth="1"/>
    <col min="7193" max="7193" width="8.44140625" style="1215" customWidth="1"/>
    <col min="7194" max="7194" width="13" style="1215" bestFit="1" customWidth="1"/>
    <col min="7195" max="7433" width="11.5546875" style="1215"/>
    <col min="7434" max="7434" width="8.5546875" style="1215" customWidth="1"/>
    <col min="7435" max="7435" width="50" style="1215" customWidth="1"/>
    <col min="7436" max="7436" width="6.44140625" style="1215" bestFit="1" customWidth="1"/>
    <col min="7437" max="7438" width="8.5546875" style="1215" customWidth="1"/>
    <col min="7439" max="7439" width="11.44140625" style="1215" bestFit="1" customWidth="1"/>
    <col min="7440" max="7440" width="7.5546875" style="1215" bestFit="1" customWidth="1"/>
    <col min="7441" max="7441" width="11.5546875" style="1215" bestFit="1" customWidth="1"/>
    <col min="7442" max="7442" width="8" style="1215" bestFit="1" customWidth="1"/>
    <col min="7443" max="7443" width="11.5546875" style="1215" bestFit="1" customWidth="1"/>
    <col min="7444" max="7444" width="8.44140625" style="1215" bestFit="1" customWidth="1"/>
    <col min="7445" max="7445" width="11.5546875" style="1215" bestFit="1" customWidth="1"/>
    <col min="7446" max="7446" width="8.44140625" style="1215" customWidth="1"/>
    <col min="7447" max="7447" width="7.44140625" style="1215" bestFit="1" customWidth="1"/>
    <col min="7448" max="7448" width="11.5546875" style="1215" bestFit="1" customWidth="1"/>
    <col min="7449" max="7449" width="8.44140625" style="1215" customWidth="1"/>
    <col min="7450" max="7450" width="13" style="1215" bestFit="1" customWidth="1"/>
    <col min="7451" max="7689" width="11.5546875" style="1215"/>
    <col min="7690" max="7690" width="8.5546875" style="1215" customWidth="1"/>
    <col min="7691" max="7691" width="50" style="1215" customWidth="1"/>
    <col min="7692" max="7692" width="6.44140625" style="1215" bestFit="1" customWidth="1"/>
    <col min="7693" max="7694" width="8.5546875" style="1215" customWidth="1"/>
    <col min="7695" max="7695" width="11.44140625" style="1215" bestFit="1" customWidth="1"/>
    <col min="7696" max="7696" width="7.5546875" style="1215" bestFit="1" customWidth="1"/>
    <col min="7697" max="7697" width="11.5546875" style="1215" bestFit="1" customWidth="1"/>
    <col min="7698" max="7698" width="8" style="1215" bestFit="1" customWidth="1"/>
    <col min="7699" max="7699" width="11.5546875" style="1215" bestFit="1" customWidth="1"/>
    <col min="7700" max="7700" width="8.44140625" style="1215" bestFit="1" customWidth="1"/>
    <col min="7701" max="7701" width="11.5546875" style="1215" bestFit="1" customWidth="1"/>
    <col min="7702" max="7702" width="8.44140625" style="1215" customWidth="1"/>
    <col min="7703" max="7703" width="7.44140625" style="1215" bestFit="1" customWidth="1"/>
    <col min="7704" max="7704" width="11.5546875" style="1215" bestFit="1" customWidth="1"/>
    <col min="7705" max="7705" width="8.44140625" style="1215" customWidth="1"/>
    <col min="7706" max="7706" width="13" style="1215" bestFit="1" customWidth="1"/>
    <col min="7707" max="7945" width="11.5546875" style="1215"/>
    <col min="7946" max="7946" width="8.5546875" style="1215" customWidth="1"/>
    <col min="7947" max="7947" width="50" style="1215" customWidth="1"/>
    <col min="7948" max="7948" width="6.44140625" style="1215" bestFit="1" customWidth="1"/>
    <col min="7949" max="7950" width="8.5546875" style="1215" customWidth="1"/>
    <col min="7951" max="7951" width="11.44140625" style="1215" bestFit="1" customWidth="1"/>
    <col min="7952" max="7952" width="7.5546875" style="1215" bestFit="1" customWidth="1"/>
    <col min="7953" max="7953" width="11.5546875" style="1215" bestFit="1" customWidth="1"/>
    <col min="7954" max="7954" width="8" style="1215" bestFit="1" customWidth="1"/>
    <col min="7955" max="7955" width="11.5546875" style="1215" bestFit="1" customWidth="1"/>
    <col min="7956" max="7956" width="8.44140625" style="1215" bestFit="1" customWidth="1"/>
    <col min="7957" max="7957" width="11.5546875" style="1215" bestFit="1" customWidth="1"/>
    <col min="7958" max="7958" width="8.44140625" style="1215" customWidth="1"/>
    <col min="7959" max="7959" width="7.44140625" style="1215" bestFit="1" customWidth="1"/>
    <col min="7960" max="7960" width="11.5546875" style="1215" bestFit="1" customWidth="1"/>
    <col min="7961" max="7961" width="8.44140625" style="1215" customWidth="1"/>
    <col min="7962" max="7962" width="13" style="1215" bestFit="1" customWidth="1"/>
    <col min="7963" max="8201" width="11.5546875" style="1215"/>
    <col min="8202" max="8202" width="8.5546875" style="1215" customWidth="1"/>
    <col min="8203" max="8203" width="50" style="1215" customWidth="1"/>
    <col min="8204" max="8204" width="6.44140625" style="1215" bestFit="1" customWidth="1"/>
    <col min="8205" max="8206" width="8.5546875" style="1215" customWidth="1"/>
    <col min="8207" max="8207" width="11.44140625" style="1215" bestFit="1" customWidth="1"/>
    <col min="8208" max="8208" width="7.5546875" style="1215" bestFit="1" customWidth="1"/>
    <col min="8209" max="8209" width="11.5546875" style="1215" bestFit="1" customWidth="1"/>
    <col min="8210" max="8210" width="8" style="1215" bestFit="1" customWidth="1"/>
    <col min="8211" max="8211" width="11.5546875" style="1215" bestFit="1" customWidth="1"/>
    <col min="8212" max="8212" width="8.44140625" style="1215" bestFit="1" customWidth="1"/>
    <col min="8213" max="8213" width="11.5546875" style="1215" bestFit="1" customWidth="1"/>
    <col min="8214" max="8214" width="8.44140625" style="1215" customWidth="1"/>
    <col min="8215" max="8215" width="7.44140625" style="1215" bestFit="1" customWidth="1"/>
    <col min="8216" max="8216" width="11.5546875" style="1215" bestFit="1" customWidth="1"/>
    <col min="8217" max="8217" width="8.44140625" style="1215" customWidth="1"/>
    <col min="8218" max="8218" width="13" style="1215" bestFit="1" customWidth="1"/>
    <col min="8219" max="8457" width="11.5546875" style="1215"/>
    <col min="8458" max="8458" width="8.5546875" style="1215" customWidth="1"/>
    <col min="8459" max="8459" width="50" style="1215" customWidth="1"/>
    <col min="8460" max="8460" width="6.44140625" style="1215" bestFit="1" customWidth="1"/>
    <col min="8461" max="8462" width="8.5546875" style="1215" customWidth="1"/>
    <col min="8463" max="8463" width="11.44140625" style="1215" bestFit="1" customWidth="1"/>
    <col min="8464" max="8464" width="7.5546875" style="1215" bestFit="1" customWidth="1"/>
    <col min="8465" max="8465" width="11.5546875" style="1215" bestFit="1" customWidth="1"/>
    <col min="8466" max="8466" width="8" style="1215" bestFit="1" customWidth="1"/>
    <col min="8467" max="8467" width="11.5546875" style="1215" bestFit="1" customWidth="1"/>
    <col min="8468" max="8468" width="8.44140625" style="1215" bestFit="1" customWidth="1"/>
    <col min="8469" max="8469" width="11.5546875" style="1215" bestFit="1" customWidth="1"/>
    <col min="8470" max="8470" width="8.44140625" style="1215" customWidth="1"/>
    <col min="8471" max="8471" width="7.44140625" style="1215" bestFit="1" customWidth="1"/>
    <col min="8472" max="8472" width="11.5546875" style="1215" bestFit="1" customWidth="1"/>
    <col min="8473" max="8473" width="8.44140625" style="1215" customWidth="1"/>
    <col min="8474" max="8474" width="13" style="1215" bestFit="1" customWidth="1"/>
    <col min="8475" max="8713" width="11.5546875" style="1215"/>
    <col min="8714" max="8714" width="8.5546875" style="1215" customWidth="1"/>
    <col min="8715" max="8715" width="50" style="1215" customWidth="1"/>
    <col min="8716" max="8716" width="6.44140625" style="1215" bestFit="1" customWidth="1"/>
    <col min="8717" max="8718" width="8.5546875" style="1215" customWidth="1"/>
    <col min="8719" max="8719" width="11.44140625" style="1215" bestFit="1" customWidth="1"/>
    <col min="8720" max="8720" width="7.5546875" style="1215" bestFit="1" customWidth="1"/>
    <col min="8721" max="8721" width="11.5546875" style="1215" bestFit="1" customWidth="1"/>
    <col min="8722" max="8722" width="8" style="1215" bestFit="1" customWidth="1"/>
    <col min="8723" max="8723" width="11.5546875" style="1215" bestFit="1" customWidth="1"/>
    <col min="8724" max="8724" width="8.44140625" style="1215" bestFit="1" customWidth="1"/>
    <col min="8725" max="8725" width="11.5546875" style="1215" bestFit="1" customWidth="1"/>
    <col min="8726" max="8726" width="8.44140625" style="1215" customWidth="1"/>
    <col min="8727" max="8727" width="7.44140625" style="1215" bestFit="1" customWidth="1"/>
    <col min="8728" max="8728" width="11.5546875" style="1215" bestFit="1" customWidth="1"/>
    <col min="8729" max="8729" width="8.44140625" style="1215" customWidth="1"/>
    <col min="8730" max="8730" width="13" style="1215" bestFit="1" customWidth="1"/>
    <col min="8731" max="8969" width="11.5546875" style="1215"/>
    <col min="8970" max="8970" width="8.5546875" style="1215" customWidth="1"/>
    <col min="8971" max="8971" width="50" style="1215" customWidth="1"/>
    <col min="8972" max="8972" width="6.44140625" style="1215" bestFit="1" customWidth="1"/>
    <col min="8973" max="8974" width="8.5546875" style="1215" customWidth="1"/>
    <col min="8975" max="8975" width="11.44140625" style="1215" bestFit="1" customWidth="1"/>
    <col min="8976" max="8976" width="7.5546875" style="1215" bestFit="1" customWidth="1"/>
    <col min="8977" max="8977" width="11.5546875" style="1215" bestFit="1" customWidth="1"/>
    <col min="8978" max="8978" width="8" style="1215" bestFit="1" customWidth="1"/>
    <col min="8979" max="8979" width="11.5546875" style="1215" bestFit="1" customWidth="1"/>
    <col min="8980" max="8980" width="8.44140625" style="1215" bestFit="1" customWidth="1"/>
    <col min="8981" max="8981" width="11.5546875" style="1215" bestFit="1" customWidth="1"/>
    <col min="8982" max="8982" width="8.44140625" style="1215" customWidth="1"/>
    <col min="8983" max="8983" width="7.44140625" style="1215" bestFit="1" customWidth="1"/>
    <col min="8984" max="8984" width="11.5546875" style="1215" bestFit="1" customWidth="1"/>
    <col min="8985" max="8985" width="8.44140625" style="1215" customWidth="1"/>
    <col min="8986" max="8986" width="13" style="1215" bestFit="1" customWidth="1"/>
    <col min="8987" max="9225" width="11.5546875" style="1215"/>
    <col min="9226" max="9226" width="8.5546875" style="1215" customWidth="1"/>
    <col min="9227" max="9227" width="50" style="1215" customWidth="1"/>
    <col min="9228" max="9228" width="6.44140625" style="1215" bestFit="1" customWidth="1"/>
    <col min="9229" max="9230" width="8.5546875" style="1215" customWidth="1"/>
    <col min="9231" max="9231" width="11.44140625" style="1215" bestFit="1" customWidth="1"/>
    <col min="9232" max="9232" width="7.5546875" style="1215" bestFit="1" customWidth="1"/>
    <col min="9233" max="9233" width="11.5546875" style="1215" bestFit="1" customWidth="1"/>
    <col min="9234" max="9234" width="8" style="1215" bestFit="1" customWidth="1"/>
    <col min="9235" max="9235" width="11.5546875" style="1215" bestFit="1" customWidth="1"/>
    <col min="9236" max="9236" width="8.44140625" style="1215" bestFit="1" customWidth="1"/>
    <col min="9237" max="9237" width="11.5546875" style="1215" bestFit="1" customWidth="1"/>
    <col min="9238" max="9238" width="8.44140625" style="1215" customWidth="1"/>
    <col min="9239" max="9239" width="7.44140625" style="1215" bestFit="1" customWidth="1"/>
    <col min="9240" max="9240" width="11.5546875" style="1215" bestFit="1" customWidth="1"/>
    <col min="9241" max="9241" width="8.44140625" style="1215" customWidth="1"/>
    <col min="9242" max="9242" width="13" style="1215" bestFit="1" customWidth="1"/>
    <col min="9243" max="9481" width="11.5546875" style="1215"/>
    <col min="9482" max="9482" width="8.5546875" style="1215" customWidth="1"/>
    <col min="9483" max="9483" width="50" style="1215" customWidth="1"/>
    <col min="9484" max="9484" width="6.44140625" style="1215" bestFit="1" customWidth="1"/>
    <col min="9485" max="9486" width="8.5546875" style="1215" customWidth="1"/>
    <col min="9487" max="9487" width="11.44140625" style="1215" bestFit="1" customWidth="1"/>
    <col min="9488" max="9488" width="7.5546875" style="1215" bestFit="1" customWidth="1"/>
    <col min="9489" max="9489" width="11.5546875" style="1215" bestFit="1" customWidth="1"/>
    <col min="9490" max="9490" width="8" style="1215" bestFit="1" customWidth="1"/>
    <col min="9491" max="9491" width="11.5546875" style="1215" bestFit="1" customWidth="1"/>
    <col min="9492" max="9492" width="8.44140625" style="1215" bestFit="1" customWidth="1"/>
    <col min="9493" max="9493" width="11.5546875" style="1215" bestFit="1" customWidth="1"/>
    <col min="9494" max="9494" width="8.44140625" style="1215" customWidth="1"/>
    <col min="9495" max="9495" width="7.44140625" style="1215" bestFit="1" customWidth="1"/>
    <col min="9496" max="9496" width="11.5546875" style="1215" bestFit="1" customWidth="1"/>
    <col min="9497" max="9497" width="8.44140625" style="1215" customWidth="1"/>
    <col min="9498" max="9498" width="13" style="1215" bestFit="1" customWidth="1"/>
    <col min="9499" max="9737" width="11.5546875" style="1215"/>
    <col min="9738" max="9738" width="8.5546875" style="1215" customWidth="1"/>
    <col min="9739" max="9739" width="50" style="1215" customWidth="1"/>
    <col min="9740" max="9740" width="6.44140625" style="1215" bestFit="1" customWidth="1"/>
    <col min="9741" max="9742" width="8.5546875" style="1215" customWidth="1"/>
    <col min="9743" max="9743" width="11.44140625" style="1215" bestFit="1" customWidth="1"/>
    <col min="9744" max="9744" width="7.5546875" style="1215" bestFit="1" customWidth="1"/>
    <col min="9745" max="9745" width="11.5546875" style="1215" bestFit="1" customWidth="1"/>
    <col min="9746" max="9746" width="8" style="1215" bestFit="1" customWidth="1"/>
    <col min="9747" max="9747" width="11.5546875" style="1215" bestFit="1" customWidth="1"/>
    <col min="9748" max="9748" width="8.44140625" style="1215" bestFit="1" customWidth="1"/>
    <col min="9749" max="9749" width="11.5546875" style="1215" bestFit="1" customWidth="1"/>
    <col min="9750" max="9750" width="8.44140625" style="1215" customWidth="1"/>
    <col min="9751" max="9751" width="7.44140625" style="1215" bestFit="1" customWidth="1"/>
    <col min="9752" max="9752" width="11.5546875" style="1215" bestFit="1" customWidth="1"/>
    <col min="9753" max="9753" width="8.44140625" style="1215" customWidth="1"/>
    <col min="9754" max="9754" width="13" style="1215" bestFit="1" customWidth="1"/>
    <col min="9755" max="9993" width="11.5546875" style="1215"/>
    <col min="9994" max="9994" width="8.5546875" style="1215" customWidth="1"/>
    <col min="9995" max="9995" width="50" style="1215" customWidth="1"/>
    <col min="9996" max="9996" width="6.44140625" style="1215" bestFit="1" customWidth="1"/>
    <col min="9997" max="9998" width="8.5546875" style="1215" customWidth="1"/>
    <col min="9999" max="9999" width="11.44140625" style="1215" bestFit="1" customWidth="1"/>
    <col min="10000" max="10000" width="7.5546875" style="1215" bestFit="1" customWidth="1"/>
    <col min="10001" max="10001" width="11.5546875" style="1215" bestFit="1" customWidth="1"/>
    <col min="10002" max="10002" width="8" style="1215" bestFit="1" customWidth="1"/>
    <col min="10003" max="10003" width="11.5546875" style="1215" bestFit="1" customWidth="1"/>
    <col min="10004" max="10004" width="8.44140625" style="1215" bestFit="1" customWidth="1"/>
    <col min="10005" max="10005" width="11.5546875" style="1215" bestFit="1" customWidth="1"/>
    <col min="10006" max="10006" width="8.44140625" style="1215" customWidth="1"/>
    <col min="10007" max="10007" width="7.44140625" style="1215" bestFit="1" customWidth="1"/>
    <col min="10008" max="10008" width="11.5546875" style="1215" bestFit="1" customWidth="1"/>
    <col min="10009" max="10009" width="8.44140625" style="1215" customWidth="1"/>
    <col min="10010" max="10010" width="13" style="1215" bestFit="1" customWidth="1"/>
    <col min="10011" max="10249" width="11.5546875" style="1215"/>
    <col min="10250" max="10250" width="8.5546875" style="1215" customWidth="1"/>
    <col min="10251" max="10251" width="50" style="1215" customWidth="1"/>
    <col min="10252" max="10252" width="6.44140625" style="1215" bestFit="1" customWidth="1"/>
    <col min="10253" max="10254" width="8.5546875" style="1215" customWidth="1"/>
    <col min="10255" max="10255" width="11.44140625" style="1215" bestFit="1" customWidth="1"/>
    <col min="10256" max="10256" width="7.5546875" style="1215" bestFit="1" customWidth="1"/>
    <col min="10257" max="10257" width="11.5546875" style="1215" bestFit="1" customWidth="1"/>
    <col min="10258" max="10258" width="8" style="1215" bestFit="1" customWidth="1"/>
    <col min="10259" max="10259" width="11.5546875" style="1215" bestFit="1" customWidth="1"/>
    <col min="10260" max="10260" width="8.44140625" style="1215" bestFit="1" customWidth="1"/>
    <col min="10261" max="10261" width="11.5546875" style="1215" bestFit="1" customWidth="1"/>
    <col min="10262" max="10262" width="8.44140625" style="1215" customWidth="1"/>
    <col min="10263" max="10263" width="7.44140625" style="1215" bestFit="1" customWidth="1"/>
    <col min="10264" max="10264" width="11.5546875" style="1215" bestFit="1" customWidth="1"/>
    <col min="10265" max="10265" width="8.44140625" style="1215" customWidth="1"/>
    <col min="10266" max="10266" width="13" style="1215" bestFit="1" customWidth="1"/>
    <col min="10267" max="10505" width="11.5546875" style="1215"/>
    <col min="10506" max="10506" width="8.5546875" style="1215" customWidth="1"/>
    <col min="10507" max="10507" width="50" style="1215" customWidth="1"/>
    <col min="10508" max="10508" width="6.44140625" style="1215" bestFit="1" customWidth="1"/>
    <col min="10509" max="10510" width="8.5546875" style="1215" customWidth="1"/>
    <col min="10511" max="10511" width="11.44140625" style="1215" bestFit="1" customWidth="1"/>
    <col min="10512" max="10512" width="7.5546875" style="1215" bestFit="1" customWidth="1"/>
    <col min="10513" max="10513" width="11.5546875" style="1215" bestFit="1" customWidth="1"/>
    <col min="10514" max="10514" width="8" style="1215" bestFit="1" customWidth="1"/>
    <col min="10515" max="10515" width="11.5546875" style="1215" bestFit="1" customWidth="1"/>
    <col min="10516" max="10516" width="8.44140625" style="1215" bestFit="1" customWidth="1"/>
    <col min="10517" max="10517" width="11.5546875" style="1215" bestFit="1" customWidth="1"/>
    <col min="10518" max="10518" width="8.44140625" style="1215" customWidth="1"/>
    <col min="10519" max="10519" width="7.44140625" style="1215" bestFit="1" customWidth="1"/>
    <col min="10520" max="10520" width="11.5546875" style="1215" bestFit="1" customWidth="1"/>
    <col min="10521" max="10521" width="8.44140625" style="1215" customWidth="1"/>
    <col min="10522" max="10522" width="13" style="1215" bestFit="1" customWidth="1"/>
    <col min="10523" max="10761" width="11.5546875" style="1215"/>
    <col min="10762" max="10762" width="8.5546875" style="1215" customWidth="1"/>
    <col min="10763" max="10763" width="50" style="1215" customWidth="1"/>
    <col min="10764" max="10764" width="6.44140625" style="1215" bestFit="1" customWidth="1"/>
    <col min="10765" max="10766" width="8.5546875" style="1215" customWidth="1"/>
    <col min="10767" max="10767" width="11.44140625" style="1215" bestFit="1" customWidth="1"/>
    <col min="10768" max="10768" width="7.5546875" style="1215" bestFit="1" customWidth="1"/>
    <col min="10769" max="10769" width="11.5546875" style="1215" bestFit="1" customWidth="1"/>
    <col min="10770" max="10770" width="8" style="1215" bestFit="1" customWidth="1"/>
    <col min="10771" max="10771" width="11.5546875" style="1215" bestFit="1" customWidth="1"/>
    <col min="10772" max="10772" width="8.44140625" style="1215" bestFit="1" customWidth="1"/>
    <col min="10773" max="10773" width="11.5546875" style="1215" bestFit="1" customWidth="1"/>
    <col min="10774" max="10774" width="8.44140625" style="1215" customWidth="1"/>
    <col min="10775" max="10775" width="7.44140625" style="1215" bestFit="1" customWidth="1"/>
    <col min="10776" max="10776" width="11.5546875" style="1215" bestFit="1" customWidth="1"/>
    <col min="10777" max="10777" width="8.44140625" style="1215" customWidth="1"/>
    <col min="10778" max="10778" width="13" style="1215" bestFit="1" customWidth="1"/>
    <col min="10779" max="11017" width="11.5546875" style="1215"/>
    <col min="11018" max="11018" width="8.5546875" style="1215" customWidth="1"/>
    <col min="11019" max="11019" width="50" style="1215" customWidth="1"/>
    <col min="11020" max="11020" width="6.44140625" style="1215" bestFit="1" customWidth="1"/>
    <col min="11021" max="11022" width="8.5546875" style="1215" customWidth="1"/>
    <col min="11023" max="11023" width="11.44140625" style="1215" bestFit="1" customWidth="1"/>
    <col min="11024" max="11024" width="7.5546875" style="1215" bestFit="1" customWidth="1"/>
    <col min="11025" max="11025" width="11.5546875" style="1215" bestFit="1" customWidth="1"/>
    <col min="11026" max="11026" width="8" style="1215" bestFit="1" customWidth="1"/>
    <col min="11027" max="11027" width="11.5546875" style="1215" bestFit="1" customWidth="1"/>
    <col min="11028" max="11028" width="8.44140625" style="1215" bestFit="1" customWidth="1"/>
    <col min="11029" max="11029" width="11.5546875" style="1215" bestFit="1" customWidth="1"/>
    <col min="11030" max="11030" width="8.44140625" style="1215" customWidth="1"/>
    <col min="11031" max="11031" width="7.44140625" style="1215" bestFit="1" customWidth="1"/>
    <col min="11032" max="11032" width="11.5546875" style="1215" bestFit="1" customWidth="1"/>
    <col min="11033" max="11033" width="8.44140625" style="1215" customWidth="1"/>
    <col min="11034" max="11034" width="13" style="1215" bestFit="1" customWidth="1"/>
    <col min="11035" max="11273" width="11.5546875" style="1215"/>
    <col min="11274" max="11274" width="8.5546875" style="1215" customWidth="1"/>
    <col min="11275" max="11275" width="50" style="1215" customWidth="1"/>
    <col min="11276" max="11276" width="6.44140625" style="1215" bestFit="1" customWidth="1"/>
    <col min="11277" max="11278" width="8.5546875" style="1215" customWidth="1"/>
    <col min="11279" max="11279" width="11.44140625" style="1215" bestFit="1" customWidth="1"/>
    <col min="11280" max="11280" width="7.5546875" style="1215" bestFit="1" customWidth="1"/>
    <col min="11281" max="11281" width="11.5546875" style="1215" bestFit="1" customWidth="1"/>
    <col min="11282" max="11282" width="8" style="1215" bestFit="1" customWidth="1"/>
    <col min="11283" max="11283" width="11.5546875" style="1215" bestFit="1" customWidth="1"/>
    <col min="11284" max="11284" width="8.44140625" style="1215" bestFit="1" customWidth="1"/>
    <col min="11285" max="11285" width="11.5546875" style="1215" bestFit="1" customWidth="1"/>
    <col min="11286" max="11286" width="8.44140625" style="1215" customWidth="1"/>
    <col min="11287" max="11287" width="7.44140625" style="1215" bestFit="1" customWidth="1"/>
    <col min="11288" max="11288" width="11.5546875" style="1215" bestFit="1" customWidth="1"/>
    <col min="11289" max="11289" width="8.44140625" style="1215" customWidth="1"/>
    <col min="11290" max="11290" width="13" style="1215" bestFit="1" customWidth="1"/>
    <col min="11291" max="11529" width="11.5546875" style="1215"/>
    <col min="11530" max="11530" width="8.5546875" style="1215" customWidth="1"/>
    <col min="11531" max="11531" width="50" style="1215" customWidth="1"/>
    <col min="11532" max="11532" width="6.44140625" style="1215" bestFit="1" customWidth="1"/>
    <col min="11533" max="11534" width="8.5546875" style="1215" customWidth="1"/>
    <col min="11535" max="11535" width="11.44140625" style="1215" bestFit="1" customWidth="1"/>
    <col min="11536" max="11536" width="7.5546875" style="1215" bestFit="1" customWidth="1"/>
    <col min="11537" max="11537" width="11.5546875" style="1215" bestFit="1" customWidth="1"/>
    <col min="11538" max="11538" width="8" style="1215" bestFit="1" customWidth="1"/>
    <col min="11539" max="11539" width="11.5546875" style="1215" bestFit="1" customWidth="1"/>
    <col min="11540" max="11540" width="8.44140625" style="1215" bestFit="1" customWidth="1"/>
    <col min="11541" max="11541" width="11.5546875" style="1215" bestFit="1" customWidth="1"/>
    <col min="11542" max="11542" width="8.44140625" style="1215" customWidth="1"/>
    <col min="11543" max="11543" width="7.44140625" style="1215" bestFit="1" customWidth="1"/>
    <col min="11544" max="11544" width="11.5546875" style="1215" bestFit="1" customWidth="1"/>
    <col min="11545" max="11545" width="8.44140625" style="1215" customWidth="1"/>
    <col min="11546" max="11546" width="13" style="1215" bestFit="1" customWidth="1"/>
    <col min="11547" max="11785" width="11.5546875" style="1215"/>
    <col min="11786" max="11786" width="8.5546875" style="1215" customWidth="1"/>
    <col min="11787" max="11787" width="50" style="1215" customWidth="1"/>
    <col min="11788" max="11788" width="6.44140625" style="1215" bestFit="1" customWidth="1"/>
    <col min="11789" max="11790" width="8.5546875" style="1215" customWidth="1"/>
    <col min="11791" max="11791" width="11.44140625" style="1215" bestFit="1" customWidth="1"/>
    <col min="11792" max="11792" width="7.5546875" style="1215" bestFit="1" customWidth="1"/>
    <col min="11793" max="11793" width="11.5546875" style="1215" bestFit="1" customWidth="1"/>
    <col min="11794" max="11794" width="8" style="1215" bestFit="1" customWidth="1"/>
    <col min="11795" max="11795" width="11.5546875" style="1215" bestFit="1" customWidth="1"/>
    <col min="11796" max="11796" width="8.44140625" style="1215" bestFit="1" customWidth="1"/>
    <col min="11797" max="11797" width="11.5546875" style="1215" bestFit="1" customWidth="1"/>
    <col min="11798" max="11798" width="8.44140625" style="1215" customWidth="1"/>
    <col min="11799" max="11799" width="7.44140625" style="1215" bestFit="1" customWidth="1"/>
    <col min="11800" max="11800" width="11.5546875" style="1215" bestFit="1" customWidth="1"/>
    <col min="11801" max="11801" width="8.44140625" style="1215" customWidth="1"/>
    <col min="11802" max="11802" width="13" style="1215" bestFit="1" customWidth="1"/>
    <col min="11803" max="12041" width="11.5546875" style="1215"/>
    <col min="12042" max="12042" width="8.5546875" style="1215" customWidth="1"/>
    <col min="12043" max="12043" width="50" style="1215" customWidth="1"/>
    <col min="12044" max="12044" width="6.44140625" style="1215" bestFit="1" customWidth="1"/>
    <col min="12045" max="12046" width="8.5546875" style="1215" customWidth="1"/>
    <col min="12047" max="12047" width="11.44140625" style="1215" bestFit="1" customWidth="1"/>
    <col min="12048" max="12048" width="7.5546875" style="1215" bestFit="1" customWidth="1"/>
    <col min="12049" max="12049" width="11.5546875" style="1215" bestFit="1" customWidth="1"/>
    <col min="12050" max="12050" width="8" style="1215" bestFit="1" customWidth="1"/>
    <col min="12051" max="12051" width="11.5546875" style="1215" bestFit="1" customWidth="1"/>
    <col min="12052" max="12052" width="8.44140625" style="1215" bestFit="1" customWidth="1"/>
    <col min="12053" max="12053" width="11.5546875" style="1215" bestFit="1" customWidth="1"/>
    <col min="12054" max="12054" width="8.44140625" style="1215" customWidth="1"/>
    <col min="12055" max="12055" width="7.44140625" style="1215" bestFit="1" customWidth="1"/>
    <col min="12056" max="12056" width="11.5546875" style="1215" bestFit="1" customWidth="1"/>
    <col min="12057" max="12057" width="8.44140625" style="1215" customWidth="1"/>
    <col min="12058" max="12058" width="13" style="1215" bestFit="1" customWidth="1"/>
    <col min="12059" max="12297" width="11.5546875" style="1215"/>
    <col min="12298" max="12298" width="8.5546875" style="1215" customWidth="1"/>
    <col min="12299" max="12299" width="50" style="1215" customWidth="1"/>
    <col min="12300" max="12300" width="6.44140625" style="1215" bestFit="1" customWidth="1"/>
    <col min="12301" max="12302" width="8.5546875" style="1215" customWidth="1"/>
    <col min="12303" max="12303" width="11.44140625" style="1215" bestFit="1" customWidth="1"/>
    <col min="12304" max="12304" width="7.5546875" style="1215" bestFit="1" customWidth="1"/>
    <col min="12305" max="12305" width="11.5546875" style="1215" bestFit="1" customWidth="1"/>
    <col min="12306" max="12306" width="8" style="1215" bestFit="1" customWidth="1"/>
    <col min="12307" max="12307" width="11.5546875" style="1215" bestFit="1" customWidth="1"/>
    <col min="12308" max="12308" width="8.44140625" style="1215" bestFit="1" customWidth="1"/>
    <col min="12309" max="12309" width="11.5546875" style="1215" bestFit="1" customWidth="1"/>
    <col min="12310" max="12310" width="8.44140625" style="1215" customWidth="1"/>
    <col min="12311" max="12311" width="7.44140625" style="1215" bestFit="1" customWidth="1"/>
    <col min="12312" max="12312" width="11.5546875" style="1215" bestFit="1" customWidth="1"/>
    <col min="12313" max="12313" width="8.44140625" style="1215" customWidth="1"/>
    <col min="12314" max="12314" width="13" style="1215" bestFit="1" customWidth="1"/>
    <col min="12315" max="12553" width="11.5546875" style="1215"/>
    <col min="12554" max="12554" width="8.5546875" style="1215" customWidth="1"/>
    <col min="12555" max="12555" width="50" style="1215" customWidth="1"/>
    <col min="12556" max="12556" width="6.44140625" style="1215" bestFit="1" customWidth="1"/>
    <col min="12557" max="12558" width="8.5546875" style="1215" customWidth="1"/>
    <col min="12559" max="12559" width="11.44140625" style="1215" bestFit="1" customWidth="1"/>
    <col min="12560" max="12560" width="7.5546875" style="1215" bestFit="1" customWidth="1"/>
    <col min="12561" max="12561" width="11.5546875" style="1215" bestFit="1" customWidth="1"/>
    <col min="12562" max="12562" width="8" style="1215" bestFit="1" customWidth="1"/>
    <col min="12563" max="12563" width="11.5546875" style="1215" bestFit="1" customWidth="1"/>
    <col min="12564" max="12564" width="8.44140625" style="1215" bestFit="1" customWidth="1"/>
    <col min="12565" max="12565" width="11.5546875" style="1215" bestFit="1" customWidth="1"/>
    <col min="12566" max="12566" width="8.44140625" style="1215" customWidth="1"/>
    <col min="12567" max="12567" width="7.44140625" style="1215" bestFit="1" customWidth="1"/>
    <col min="12568" max="12568" width="11.5546875" style="1215" bestFit="1" customWidth="1"/>
    <col min="12569" max="12569" width="8.44140625" style="1215" customWidth="1"/>
    <col min="12570" max="12570" width="13" style="1215" bestFit="1" customWidth="1"/>
    <col min="12571" max="12809" width="11.5546875" style="1215"/>
    <col min="12810" max="12810" width="8.5546875" style="1215" customWidth="1"/>
    <col min="12811" max="12811" width="50" style="1215" customWidth="1"/>
    <col min="12812" max="12812" width="6.44140625" style="1215" bestFit="1" customWidth="1"/>
    <col min="12813" max="12814" width="8.5546875" style="1215" customWidth="1"/>
    <col min="12815" max="12815" width="11.44140625" style="1215" bestFit="1" customWidth="1"/>
    <col min="12816" max="12816" width="7.5546875" style="1215" bestFit="1" customWidth="1"/>
    <col min="12817" max="12817" width="11.5546875" style="1215" bestFit="1" customWidth="1"/>
    <col min="12818" max="12818" width="8" style="1215" bestFit="1" customWidth="1"/>
    <col min="12819" max="12819" width="11.5546875" style="1215" bestFit="1" customWidth="1"/>
    <col min="12820" max="12820" width="8.44140625" style="1215" bestFit="1" customWidth="1"/>
    <col min="12821" max="12821" width="11.5546875" style="1215" bestFit="1" customWidth="1"/>
    <col min="12822" max="12822" width="8.44140625" style="1215" customWidth="1"/>
    <col min="12823" max="12823" width="7.44140625" style="1215" bestFit="1" customWidth="1"/>
    <col min="12824" max="12824" width="11.5546875" style="1215" bestFit="1" customWidth="1"/>
    <col min="12825" max="12825" width="8.44140625" style="1215" customWidth="1"/>
    <col min="12826" max="12826" width="13" style="1215" bestFit="1" customWidth="1"/>
    <col min="12827" max="13065" width="11.5546875" style="1215"/>
    <col min="13066" max="13066" width="8.5546875" style="1215" customWidth="1"/>
    <col min="13067" max="13067" width="50" style="1215" customWidth="1"/>
    <col min="13068" max="13068" width="6.44140625" style="1215" bestFit="1" customWidth="1"/>
    <col min="13069" max="13070" width="8.5546875" style="1215" customWidth="1"/>
    <col min="13071" max="13071" width="11.44140625" style="1215" bestFit="1" customWidth="1"/>
    <col min="13072" max="13072" width="7.5546875" style="1215" bestFit="1" customWidth="1"/>
    <col min="13073" max="13073" width="11.5546875" style="1215" bestFit="1" customWidth="1"/>
    <col min="13074" max="13074" width="8" style="1215" bestFit="1" customWidth="1"/>
    <col min="13075" max="13075" width="11.5546875" style="1215" bestFit="1" customWidth="1"/>
    <col min="13076" max="13076" width="8.44140625" style="1215" bestFit="1" customWidth="1"/>
    <col min="13077" max="13077" width="11.5546875" style="1215" bestFit="1" customWidth="1"/>
    <col min="13078" max="13078" width="8.44140625" style="1215" customWidth="1"/>
    <col min="13079" max="13079" width="7.44140625" style="1215" bestFit="1" customWidth="1"/>
    <col min="13080" max="13080" width="11.5546875" style="1215" bestFit="1" customWidth="1"/>
    <col min="13081" max="13081" width="8.44140625" style="1215" customWidth="1"/>
    <col min="13082" max="13082" width="13" style="1215" bestFit="1" customWidth="1"/>
    <col min="13083" max="13321" width="11.5546875" style="1215"/>
    <col min="13322" max="13322" width="8.5546875" style="1215" customWidth="1"/>
    <col min="13323" max="13323" width="50" style="1215" customWidth="1"/>
    <col min="13324" max="13324" width="6.44140625" style="1215" bestFit="1" customWidth="1"/>
    <col min="13325" max="13326" width="8.5546875" style="1215" customWidth="1"/>
    <col min="13327" max="13327" width="11.44140625" style="1215" bestFit="1" customWidth="1"/>
    <col min="13328" max="13328" width="7.5546875" style="1215" bestFit="1" customWidth="1"/>
    <col min="13329" max="13329" width="11.5546875" style="1215" bestFit="1" customWidth="1"/>
    <col min="13330" max="13330" width="8" style="1215" bestFit="1" customWidth="1"/>
    <col min="13331" max="13331" width="11.5546875" style="1215" bestFit="1" customWidth="1"/>
    <col min="13332" max="13332" width="8.44140625" style="1215" bestFit="1" customWidth="1"/>
    <col min="13333" max="13333" width="11.5546875" style="1215" bestFit="1" customWidth="1"/>
    <col min="13334" max="13334" width="8.44140625" style="1215" customWidth="1"/>
    <col min="13335" max="13335" width="7.44140625" style="1215" bestFit="1" customWidth="1"/>
    <col min="13336" max="13336" width="11.5546875" style="1215" bestFit="1" customWidth="1"/>
    <col min="13337" max="13337" width="8.44140625" style="1215" customWidth="1"/>
    <col min="13338" max="13338" width="13" style="1215" bestFit="1" customWidth="1"/>
    <col min="13339" max="13577" width="11.5546875" style="1215"/>
    <col min="13578" max="13578" width="8.5546875" style="1215" customWidth="1"/>
    <col min="13579" max="13579" width="50" style="1215" customWidth="1"/>
    <col min="13580" max="13580" width="6.44140625" style="1215" bestFit="1" customWidth="1"/>
    <col min="13581" max="13582" width="8.5546875" style="1215" customWidth="1"/>
    <col min="13583" max="13583" width="11.44140625" style="1215" bestFit="1" customWidth="1"/>
    <col min="13584" max="13584" width="7.5546875" style="1215" bestFit="1" customWidth="1"/>
    <col min="13585" max="13585" width="11.5546875" style="1215" bestFit="1" customWidth="1"/>
    <col min="13586" max="13586" width="8" style="1215" bestFit="1" customWidth="1"/>
    <col min="13587" max="13587" width="11.5546875" style="1215" bestFit="1" customWidth="1"/>
    <col min="13588" max="13588" width="8.44140625" style="1215" bestFit="1" customWidth="1"/>
    <col min="13589" max="13589" width="11.5546875" style="1215" bestFit="1" customWidth="1"/>
    <col min="13590" max="13590" width="8.44140625" style="1215" customWidth="1"/>
    <col min="13591" max="13591" width="7.44140625" style="1215" bestFit="1" customWidth="1"/>
    <col min="13592" max="13592" width="11.5546875" style="1215" bestFit="1" customWidth="1"/>
    <col min="13593" max="13593" width="8.44140625" style="1215" customWidth="1"/>
    <col min="13594" max="13594" width="13" style="1215" bestFit="1" customWidth="1"/>
    <col min="13595" max="13833" width="11.5546875" style="1215"/>
    <col min="13834" max="13834" width="8.5546875" style="1215" customWidth="1"/>
    <col min="13835" max="13835" width="50" style="1215" customWidth="1"/>
    <col min="13836" max="13836" width="6.44140625" style="1215" bestFit="1" customWidth="1"/>
    <col min="13837" max="13838" width="8.5546875" style="1215" customWidth="1"/>
    <col min="13839" max="13839" width="11.44140625" style="1215" bestFit="1" customWidth="1"/>
    <col min="13840" max="13840" width="7.5546875" style="1215" bestFit="1" customWidth="1"/>
    <col min="13841" max="13841" width="11.5546875" style="1215" bestFit="1" customWidth="1"/>
    <col min="13842" max="13842" width="8" style="1215" bestFit="1" customWidth="1"/>
    <col min="13843" max="13843" width="11.5546875" style="1215" bestFit="1" customWidth="1"/>
    <col min="13844" max="13844" width="8.44140625" style="1215" bestFit="1" customWidth="1"/>
    <col min="13845" max="13845" width="11.5546875" style="1215" bestFit="1" customWidth="1"/>
    <col min="13846" max="13846" width="8.44140625" style="1215" customWidth="1"/>
    <col min="13847" max="13847" width="7.44140625" style="1215" bestFit="1" customWidth="1"/>
    <col min="13848" max="13848" width="11.5546875" style="1215" bestFit="1" customWidth="1"/>
    <col min="13849" max="13849" width="8.44140625" style="1215" customWidth="1"/>
    <col min="13850" max="13850" width="13" style="1215" bestFit="1" customWidth="1"/>
    <col min="13851" max="14089" width="11.5546875" style="1215"/>
    <col min="14090" max="14090" width="8.5546875" style="1215" customWidth="1"/>
    <col min="14091" max="14091" width="50" style="1215" customWidth="1"/>
    <col min="14092" max="14092" width="6.44140625" style="1215" bestFit="1" customWidth="1"/>
    <col min="14093" max="14094" width="8.5546875" style="1215" customWidth="1"/>
    <col min="14095" max="14095" width="11.44140625" style="1215" bestFit="1" customWidth="1"/>
    <col min="14096" max="14096" width="7.5546875" style="1215" bestFit="1" customWidth="1"/>
    <col min="14097" max="14097" width="11.5546875" style="1215" bestFit="1" customWidth="1"/>
    <col min="14098" max="14098" width="8" style="1215" bestFit="1" customWidth="1"/>
    <col min="14099" max="14099" width="11.5546875" style="1215" bestFit="1" customWidth="1"/>
    <col min="14100" max="14100" width="8.44140625" style="1215" bestFit="1" customWidth="1"/>
    <col min="14101" max="14101" width="11.5546875" style="1215" bestFit="1" customWidth="1"/>
    <col min="14102" max="14102" width="8.44140625" style="1215" customWidth="1"/>
    <col min="14103" max="14103" width="7.44140625" style="1215" bestFit="1" customWidth="1"/>
    <col min="14104" max="14104" width="11.5546875" style="1215" bestFit="1" customWidth="1"/>
    <col min="14105" max="14105" width="8.44140625" style="1215" customWidth="1"/>
    <col min="14106" max="14106" width="13" style="1215" bestFit="1" customWidth="1"/>
    <col min="14107" max="14345" width="11.5546875" style="1215"/>
    <col min="14346" max="14346" width="8.5546875" style="1215" customWidth="1"/>
    <col min="14347" max="14347" width="50" style="1215" customWidth="1"/>
    <col min="14348" max="14348" width="6.44140625" style="1215" bestFit="1" customWidth="1"/>
    <col min="14349" max="14350" width="8.5546875" style="1215" customWidth="1"/>
    <col min="14351" max="14351" width="11.44140625" style="1215" bestFit="1" customWidth="1"/>
    <col min="14352" max="14352" width="7.5546875" style="1215" bestFit="1" customWidth="1"/>
    <col min="14353" max="14353" width="11.5546875" style="1215" bestFit="1" customWidth="1"/>
    <col min="14354" max="14354" width="8" style="1215" bestFit="1" customWidth="1"/>
    <col min="14355" max="14355" width="11.5546875" style="1215" bestFit="1" customWidth="1"/>
    <col min="14356" max="14356" width="8.44140625" style="1215" bestFit="1" customWidth="1"/>
    <col min="14357" max="14357" width="11.5546875" style="1215" bestFit="1" customWidth="1"/>
    <col min="14358" max="14358" width="8.44140625" style="1215" customWidth="1"/>
    <col min="14359" max="14359" width="7.44140625" style="1215" bestFit="1" customWidth="1"/>
    <col min="14360" max="14360" width="11.5546875" style="1215" bestFit="1" customWidth="1"/>
    <col min="14361" max="14361" width="8.44140625" style="1215" customWidth="1"/>
    <col min="14362" max="14362" width="13" style="1215" bestFit="1" customWidth="1"/>
    <col min="14363" max="14601" width="11.5546875" style="1215"/>
    <col min="14602" max="14602" width="8.5546875" style="1215" customWidth="1"/>
    <col min="14603" max="14603" width="50" style="1215" customWidth="1"/>
    <col min="14604" max="14604" width="6.44140625" style="1215" bestFit="1" customWidth="1"/>
    <col min="14605" max="14606" width="8.5546875" style="1215" customWidth="1"/>
    <col min="14607" max="14607" width="11.44140625" style="1215" bestFit="1" customWidth="1"/>
    <col min="14608" max="14608" width="7.5546875" style="1215" bestFit="1" customWidth="1"/>
    <col min="14609" max="14609" width="11.5546875" style="1215" bestFit="1" customWidth="1"/>
    <col min="14610" max="14610" width="8" style="1215" bestFit="1" customWidth="1"/>
    <col min="14611" max="14611" width="11.5546875" style="1215" bestFit="1" customWidth="1"/>
    <col min="14612" max="14612" width="8.44140625" style="1215" bestFit="1" customWidth="1"/>
    <col min="14613" max="14613" width="11.5546875" style="1215" bestFit="1" customWidth="1"/>
    <col min="14614" max="14614" width="8.44140625" style="1215" customWidth="1"/>
    <col min="14615" max="14615" width="7.44140625" style="1215" bestFit="1" customWidth="1"/>
    <col min="14616" max="14616" width="11.5546875" style="1215" bestFit="1" customWidth="1"/>
    <col min="14617" max="14617" width="8.44140625" style="1215" customWidth="1"/>
    <col min="14618" max="14618" width="13" style="1215" bestFit="1" customWidth="1"/>
    <col min="14619" max="14857" width="11.5546875" style="1215"/>
    <col min="14858" max="14858" width="8.5546875" style="1215" customWidth="1"/>
    <col min="14859" max="14859" width="50" style="1215" customWidth="1"/>
    <col min="14860" max="14860" width="6.44140625" style="1215" bestFit="1" customWidth="1"/>
    <col min="14861" max="14862" width="8.5546875" style="1215" customWidth="1"/>
    <col min="14863" max="14863" width="11.44140625" style="1215" bestFit="1" customWidth="1"/>
    <col min="14864" max="14864" width="7.5546875" style="1215" bestFit="1" customWidth="1"/>
    <col min="14865" max="14865" width="11.5546875" style="1215" bestFit="1" customWidth="1"/>
    <col min="14866" max="14866" width="8" style="1215" bestFit="1" customWidth="1"/>
    <col min="14867" max="14867" width="11.5546875" style="1215" bestFit="1" customWidth="1"/>
    <col min="14868" max="14868" width="8.44140625" style="1215" bestFit="1" customWidth="1"/>
    <col min="14869" max="14869" width="11.5546875" style="1215" bestFit="1" customWidth="1"/>
    <col min="14870" max="14870" width="8.44140625" style="1215" customWidth="1"/>
    <col min="14871" max="14871" width="7.44140625" style="1215" bestFit="1" customWidth="1"/>
    <col min="14872" max="14872" width="11.5546875" style="1215" bestFit="1" customWidth="1"/>
    <col min="14873" max="14873" width="8.44140625" style="1215" customWidth="1"/>
    <col min="14874" max="14874" width="13" style="1215" bestFit="1" customWidth="1"/>
    <col min="14875" max="15113" width="11.5546875" style="1215"/>
    <col min="15114" max="15114" width="8.5546875" style="1215" customWidth="1"/>
    <col min="15115" max="15115" width="50" style="1215" customWidth="1"/>
    <col min="15116" max="15116" width="6.44140625" style="1215" bestFit="1" customWidth="1"/>
    <col min="15117" max="15118" width="8.5546875" style="1215" customWidth="1"/>
    <col min="15119" max="15119" width="11.44140625" style="1215" bestFit="1" customWidth="1"/>
    <col min="15120" max="15120" width="7.5546875" style="1215" bestFit="1" customWidth="1"/>
    <col min="15121" max="15121" width="11.5546875" style="1215" bestFit="1" customWidth="1"/>
    <col min="15122" max="15122" width="8" style="1215" bestFit="1" customWidth="1"/>
    <col min="15123" max="15123" width="11.5546875" style="1215" bestFit="1" customWidth="1"/>
    <col min="15124" max="15124" width="8.44140625" style="1215" bestFit="1" customWidth="1"/>
    <col min="15125" max="15125" width="11.5546875" style="1215" bestFit="1" customWidth="1"/>
    <col min="15126" max="15126" width="8.44140625" style="1215" customWidth="1"/>
    <col min="15127" max="15127" width="7.44140625" style="1215" bestFit="1" customWidth="1"/>
    <col min="15128" max="15128" width="11.5546875" style="1215" bestFit="1" customWidth="1"/>
    <col min="15129" max="15129" width="8.44140625" style="1215" customWidth="1"/>
    <col min="15130" max="15130" width="13" style="1215" bestFit="1" customWidth="1"/>
    <col min="15131" max="15369" width="11.5546875" style="1215"/>
    <col min="15370" max="15370" width="8.5546875" style="1215" customWidth="1"/>
    <col min="15371" max="15371" width="50" style="1215" customWidth="1"/>
    <col min="15372" max="15372" width="6.44140625" style="1215" bestFit="1" customWidth="1"/>
    <col min="15373" max="15374" width="8.5546875" style="1215" customWidth="1"/>
    <col min="15375" max="15375" width="11.44140625" style="1215" bestFit="1" customWidth="1"/>
    <col min="15376" max="15376" width="7.5546875" style="1215" bestFit="1" customWidth="1"/>
    <col min="15377" max="15377" width="11.5546875" style="1215" bestFit="1" customWidth="1"/>
    <col min="15378" max="15378" width="8" style="1215" bestFit="1" customWidth="1"/>
    <col min="15379" max="15379" width="11.5546875" style="1215" bestFit="1" customWidth="1"/>
    <col min="15380" max="15380" width="8.44140625" style="1215" bestFit="1" customWidth="1"/>
    <col min="15381" max="15381" width="11.5546875" style="1215" bestFit="1" customWidth="1"/>
    <col min="15382" max="15382" width="8.44140625" style="1215" customWidth="1"/>
    <col min="15383" max="15383" width="7.44140625" style="1215" bestFit="1" customWidth="1"/>
    <col min="15384" max="15384" width="11.5546875" style="1215" bestFit="1" customWidth="1"/>
    <col min="15385" max="15385" width="8.44140625" style="1215" customWidth="1"/>
    <col min="15386" max="15386" width="13" style="1215" bestFit="1" customWidth="1"/>
    <col min="15387" max="15625" width="11.5546875" style="1215"/>
    <col min="15626" max="15626" width="8.5546875" style="1215" customWidth="1"/>
    <col min="15627" max="15627" width="50" style="1215" customWidth="1"/>
    <col min="15628" max="15628" width="6.44140625" style="1215" bestFit="1" customWidth="1"/>
    <col min="15629" max="15630" width="8.5546875" style="1215" customWidth="1"/>
    <col min="15631" max="15631" width="11.44140625" style="1215" bestFit="1" customWidth="1"/>
    <col min="15632" max="15632" width="7.5546875" style="1215" bestFit="1" customWidth="1"/>
    <col min="15633" max="15633" width="11.5546875" style="1215" bestFit="1" customWidth="1"/>
    <col min="15634" max="15634" width="8" style="1215" bestFit="1" customWidth="1"/>
    <col min="15635" max="15635" width="11.5546875" style="1215" bestFit="1" customWidth="1"/>
    <col min="15636" max="15636" width="8.44140625" style="1215" bestFit="1" customWidth="1"/>
    <col min="15637" max="15637" width="11.5546875" style="1215" bestFit="1" customWidth="1"/>
    <col min="15638" max="15638" width="8.44140625" style="1215" customWidth="1"/>
    <col min="15639" max="15639" width="7.44140625" style="1215" bestFit="1" customWidth="1"/>
    <col min="15640" max="15640" width="11.5546875" style="1215" bestFit="1" customWidth="1"/>
    <col min="15641" max="15641" width="8.44140625" style="1215" customWidth="1"/>
    <col min="15642" max="15642" width="13" style="1215" bestFit="1" customWidth="1"/>
    <col min="15643" max="15881" width="11.5546875" style="1215"/>
    <col min="15882" max="15882" width="8.5546875" style="1215" customWidth="1"/>
    <col min="15883" max="15883" width="50" style="1215" customWidth="1"/>
    <col min="15884" max="15884" width="6.44140625" style="1215" bestFit="1" customWidth="1"/>
    <col min="15885" max="15886" width="8.5546875" style="1215" customWidth="1"/>
    <col min="15887" max="15887" width="11.44140625" style="1215" bestFit="1" customWidth="1"/>
    <col min="15888" max="15888" width="7.5546875" style="1215" bestFit="1" customWidth="1"/>
    <col min="15889" max="15889" width="11.5546875" style="1215" bestFit="1" customWidth="1"/>
    <col min="15890" max="15890" width="8" style="1215" bestFit="1" customWidth="1"/>
    <col min="15891" max="15891" width="11.5546875" style="1215" bestFit="1" customWidth="1"/>
    <col min="15892" max="15892" width="8.44140625" style="1215" bestFit="1" customWidth="1"/>
    <col min="15893" max="15893" width="11.5546875" style="1215" bestFit="1" customWidth="1"/>
    <col min="15894" max="15894" width="8.44140625" style="1215" customWidth="1"/>
    <col min="15895" max="15895" width="7.44140625" style="1215" bestFit="1" customWidth="1"/>
    <col min="15896" max="15896" width="11.5546875" style="1215" bestFit="1" customWidth="1"/>
    <col min="15897" max="15897" width="8.44140625" style="1215" customWidth="1"/>
    <col min="15898" max="15898" width="13" style="1215" bestFit="1" customWidth="1"/>
    <col min="15899" max="16137" width="11.5546875" style="1215"/>
    <col min="16138" max="16138" width="8.5546875" style="1215" customWidth="1"/>
    <col min="16139" max="16139" width="50" style="1215" customWidth="1"/>
    <col min="16140" max="16140" width="6.44140625" style="1215" bestFit="1" customWidth="1"/>
    <col min="16141" max="16142" width="8.5546875" style="1215" customWidth="1"/>
    <col min="16143" max="16143" width="11.44140625" style="1215" bestFit="1" customWidth="1"/>
    <col min="16144" max="16144" width="7.5546875" style="1215" bestFit="1" customWidth="1"/>
    <col min="16145" max="16145" width="11.5546875" style="1215" bestFit="1" customWidth="1"/>
    <col min="16146" max="16146" width="8" style="1215" bestFit="1" customWidth="1"/>
    <col min="16147" max="16147" width="11.5546875" style="1215" bestFit="1" customWidth="1"/>
    <col min="16148" max="16148" width="8.44140625" style="1215" bestFit="1" customWidth="1"/>
    <col min="16149" max="16149" width="11.5546875" style="1215" bestFit="1" customWidth="1"/>
    <col min="16150" max="16150" width="8.44140625" style="1215" customWidth="1"/>
    <col min="16151" max="16151" width="7.44140625" style="1215" bestFit="1" customWidth="1"/>
    <col min="16152" max="16152" width="11.5546875" style="1215" bestFit="1" customWidth="1"/>
    <col min="16153" max="16153" width="8.44140625" style="1215" customWidth="1"/>
    <col min="16154" max="16154" width="13" style="1215" bestFit="1" customWidth="1"/>
    <col min="16155" max="16370" width="11.5546875" style="1215"/>
    <col min="16371" max="16384" width="11.5546875" style="1215" customWidth="1"/>
  </cols>
  <sheetData>
    <row r="1" spans="1:37">
      <c r="B1" s="2997" t="s">
        <v>12</v>
      </c>
      <c r="C1" s="2997"/>
      <c r="D1" s="2997"/>
      <c r="E1" s="2997"/>
      <c r="F1" s="2997"/>
      <c r="G1" s="2997"/>
      <c r="H1" s="2997"/>
      <c r="I1" s="2997"/>
      <c r="J1" s="2997"/>
      <c r="K1" s="2997"/>
      <c r="L1" s="2997"/>
      <c r="M1" s="2997"/>
      <c r="N1" s="2997"/>
      <c r="O1" s="2997"/>
      <c r="P1" s="2997"/>
      <c r="Q1" s="2997"/>
      <c r="R1" s="2997"/>
      <c r="S1" s="2997"/>
      <c r="T1" s="2997"/>
      <c r="U1" s="3009"/>
      <c r="V1" s="3010"/>
      <c r="W1" s="2997"/>
      <c r="X1" s="2997"/>
      <c r="Y1" s="2997"/>
      <c r="Z1" s="2997"/>
      <c r="AA1" s="2997"/>
      <c r="AB1" s="2997"/>
    </row>
    <row r="2" spans="1:37">
      <c r="B2" s="2997" t="s">
        <v>4380</v>
      </c>
      <c r="C2" s="2997"/>
      <c r="D2" s="2997"/>
      <c r="E2" s="2997"/>
      <c r="F2" s="2997"/>
      <c r="G2" s="2997"/>
      <c r="H2" s="2997"/>
      <c r="I2" s="2997"/>
      <c r="J2" s="2997"/>
      <c r="K2" s="2997"/>
      <c r="L2" s="2997"/>
      <c r="M2" s="2997"/>
      <c r="N2" s="2997"/>
      <c r="O2" s="2997"/>
      <c r="P2" s="2997"/>
      <c r="Q2" s="2997"/>
      <c r="R2" s="2997"/>
      <c r="S2" s="2997"/>
      <c r="T2" s="2997"/>
      <c r="U2" s="3009"/>
      <c r="V2" s="3010"/>
      <c r="W2" s="2997"/>
      <c r="X2" s="2997"/>
      <c r="Y2" s="2997"/>
      <c r="Z2" s="2997"/>
      <c r="AA2" s="2997"/>
      <c r="AB2" s="2997"/>
    </row>
    <row r="3" spans="1:37" ht="13.8" thickBot="1">
      <c r="B3" s="2997" t="s">
        <v>4373</v>
      </c>
      <c r="C3" s="2997"/>
      <c r="D3" s="2997"/>
      <c r="E3" s="2997"/>
      <c r="F3" s="2997"/>
      <c r="G3" s="2997"/>
      <c r="H3" s="2997"/>
      <c r="I3" s="2997"/>
      <c r="J3" s="2997"/>
      <c r="K3" s="2997"/>
      <c r="L3" s="2997"/>
      <c r="M3" s="2997"/>
      <c r="N3" s="2997"/>
      <c r="O3" s="2997"/>
      <c r="P3" s="2997"/>
      <c r="Q3" s="2997"/>
      <c r="R3" s="2997"/>
      <c r="S3" s="2997"/>
      <c r="T3" s="2997"/>
      <c r="U3" s="3009"/>
      <c r="V3" s="3010"/>
      <c r="W3" s="2997"/>
      <c r="X3" s="2997"/>
      <c r="Y3" s="2997"/>
      <c r="Z3" s="2997"/>
      <c r="AA3" s="2997"/>
      <c r="AB3" s="2997"/>
    </row>
    <row r="4" spans="1:37" ht="34.799999999999997" customHeight="1" thickBot="1">
      <c r="B4" s="1218"/>
      <c r="C4" s="1220" t="s">
        <v>6</v>
      </c>
      <c r="D4" s="1240" t="s">
        <v>4</v>
      </c>
      <c r="E4" s="3011" t="s">
        <v>2833</v>
      </c>
      <c r="F4" s="3012"/>
      <c r="G4" s="3012"/>
      <c r="H4" s="3012"/>
      <c r="I4" s="3012"/>
      <c r="J4" s="3012"/>
      <c r="K4" s="3012"/>
      <c r="L4" s="3012"/>
      <c r="M4" s="3012"/>
      <c r="N4" s="3012"/>
      <c r="O4" s="3012"/>
      <c r="P4" s="3012"/>
      <c r="Q4" s="3012"/>
      <c r="R4" s="3012"/>
      <c r="S4" s="3012"/>
      <c r="T4" s="3012"/>
      <c r="U4" s="3013"/>
      <c r="V4" s="3014"/>
      <c r="W4" s="3012"/>
      <c r="X4" s="3015"/>
      <c r="Y4" s="1238" t="s">
        <v>13</v>
      </c>
      <c r="Z4" s="1217"/>
      <c r="AA4" s="3016">
        <f ca="1">TODAY()</f>
        <v>44559</v>
      </c>
      <c r="AB4" s="3016"/>
      <c r="AI4" s="1215"/>
    </row>
    <row r="5" spans="1:37">
      <c r="B5" s="1219"/>
      <c r="C5" s="1220" t="s">
        <v>5</v>
      </c>
      <c r="D5" s="1221" t="s">
        <v>4</v>
      </c>
      <c r="E5" s="1222" t="s">
        <v>533</v>
      </c>
      <c r="F5" s="1222"/>
      <c r="G5" s="1480"/>
      <c r="H5" s="1219"/>
      <c r="I5" s="1594"/>
      <c r="J5" s="1594"/>
      <c r="K5" s="1594"/>
      <c r="L5" s="1594"/>
      <c r="M5" s="1594"/>
      <c r="N5" s="1594"/>
      <c r="O5" s="1594"/>
      <c r="P5" s="1594"/>
      <c r="Q5" s="1594"/>
      <c r="R5" s="1350"/>
      <c r="S5" s="1350"/>
      <c r="T5" s="1349"/>
      <c r="U5" s="1350"/>
      <c r="V5" s="1349"/>
      <c r="Y5" s="1219" t="s">
        <v>14</v>
      </c>
      <c r="AA5" s="1219"/>
      <c r="AB5" s="1239" t="s">
        <v>536</v>
      </c>
      <c r="AI5" s="1215"/>
    </row>
    <row r="6" spans="1:37">
      <c r="C6" s="1220" t="s">
        <v>15</v>
      </c>
      <c r="D6" s="1221" t="s">
        <v>4</v>
      </c>
      <c r="E6" s="1222" t="s">
        <v>3678</v>
      </c>
      <c r="F6" s="1222"/>
      <c r="G6" s="1480"/>
      <c r="H6" s="1215"/>
      <c r="I6" s="1595"/>
      <c r="J6" s="1595"/>
      <c r="K6" s="1595"/>
      <c r="L6" s="1595"/>
      <c r="M6" s="1595"/>
      <c r="N6" s="1595"/>
      <c r="O6" s="1595"/>
      <c r="P6" s="1595"/>
      <c r="Q6" s="1595"/>
      <c r="R6" s="1231"/>
      <c r="S6" s="1349"/>
      <c r="T6" s="1349"/>
      <c r="U6" s="1349"/>
      <c r="V6" s="1349"/>
      <c r="Y6" s="1219" t="s">
        <v>16</v>
      </c>
      <c r="AB6" s="1239" t="s">
        <v>536</v>
      </c>
      <c r="AI6" s="1215"/>
    </row>
    <row r="7" spans="1:37">
      <c r="C7" s="1220" t="s">
        <v>17</v>
      </c>
      <c r="D7" s="1221" t="s">
        <v>4</v>
      </c>
      <c r="E7" s="1222" t="s">
        <v>11</v>
      </c>
      <c r="F7" s="1222"/>
      <c r="G7" s="1480"/>
      <c r="H7" s="1215"/>
      <c r="I7" s="1595"/>
      <c r="J7" s="1595"/>
      <c r="K7" s="1595"/>
      <c r="L7" s="1595"/>
      <c r="M7" s="1595"/>
      <c r="N7" s="1595"/>
      <c r="O7" s="1595"/>
      <c r="P7" s="1595"/>
      <c r="Q7" s="1595"/>
      <c r="R7" s="1231"/>
      <c r="S7" s="1349"/>
      <c r="T7" s="1349"/>
      <c r="U7" s="1349"/>
      <c r="V7" s="1437"/>
      <c r="W7" s="1237"/>
      <c r="Y7" s="1219" t="s">
        <v>18</v>
      </c>
      <c r="AA7" s="1223"/>
      <c r="AB7" s="1239" t="s">
        <v>10</v>
      </c>
      <c r="AI7" s="1215"/>
    </row>
    <row r="8" spans="1:37">
      <c r="C8" s="1220" t="s">
        <v>19</v>
      </c>
      <c r="D8" s="1221" t="s">
        <v>4</v>
      </c>
      <c r="E8" s="1772">
        <v>2021</v>
      </c>
      <c r="F8" s="1772"/>
      <c r="G8" s="1772"/>
      <c r="H8" s="1231"/>
      <c r="I8" s="1231"/>
      <c r="J8" s="1231"/>
      <c r="K8" s="1231"/>
      <c r="L8" s="1231"/>
      <c r="M8" s="1231"/>
      <c r="N8" s="1231"/>
      <c r="O8" s="1231"/>
      <c r="P8" s="1231"/>
      <c r="Q8" s="1231"/>
      <c r="R8" s="1230"/>
      <c r="S8" s="1349"/>
      <c r="T8" s="1349"/>
      <c r="U8" s="1349"/>
      <c r="V8" s="1349"/>
      <c r="W8" s="1237"/>
      <c r="X8" s="1299"/>
      <c r="AI8" s="1215"/>
    </row>
    <row r="9" spans="1:37" ht="13.8" thickBot="1">
      <c r="E9" s="1230"/>
      <c r="F9" s="1230"/>
      <c r="G9" s="1230"/>
      <c r="H9" s="1230"/>
      <c r="I9" s="1230"/>
      <c r="J9" s="1230"/>
      <c r="K9" s="1230"/>
      <c r="L9" s="1230"/>
      <c r="M9" s="1230"/>
      <c r="N9" s="1230"/>
      <c r="O9" s="1230"/>
      <c r="P9" s="1230"/>
      <c r="Q9" s="1230"/>
      <c r="R9" s="1230"/>
      <c r="S9" s="1349"/>
      <c r="T9" s="1349"/>
      <c r="U9" s="1349"/>
      <c r="V9" s="1349"/>
    </row>
    <row r="10" spans="1:37" ht="13.35" customHeight="1" thickBot="1">
      <c r="B10" s="2869" t="s">
        <v>20</v>
      </c>
      <c r="C10" s="2869" t="s">
        <v>21</v>
      </c>
      <c r="D10" s="2978" t="s">
        <v>22</v>
      </c>
      <c r="E10" s="3017" t="s">
        <v>23</v>
      </c>
      <c r="F10" s="3018"/>
      <c r="G10" s="3018"/>
      <c r="H10" s="3018"/>
      <c r="I10" s="3018"/>
      <c r="J10" s="3018"/>
      <c r="K10" s="3018"/>
      <c r="L10" s="3018"/>
      <c r="M10" s="3018"/>
      <c r="N10" s="3018"/>
      <c r="O10" s="3018"/>
      <c r="P10" s="3018"/>
      <c r="Q10" s="3018"/>
      <c r="R10" s="3019"/>
      <c r="S10" s="3008"/>
      <c r="T10" s="3008"/>
      <c r="U10" s="3008"/>
      <c r="V10" s="3008"/>
      <c r="W10" s="3008"/>
      <c r="X10" s="3008"/>
      <c r="Y10" s="3008"/>
      <c r="Z10" s="2982" t="s">
        <v>25</v>
      </c>
      <c r="AA10" s="2983"/>
      <c r="AB10" s="2984"/>
    </row>
    <row r="11" spans="1:37" ht="13.35" customHeight="1" thickBot="1">
      <c r="B11" s="2870"/>
      <c r="C11" s="2870"/>
      <c r="D11" s="3000"/>
      <c r="E11" s="3020"/>
      <c r="F11" s="3021"/>
      <c r="G11" s="3021"/>
      <c r="H11" s="3021"/>
      <c r="I11" s="3021"/>
      <c r="J11" s="3021"/>
      <c r="K11" s="3021"/>
      <c r="L11" s="3021"/>
      <c r="M11" s="3021"/>
      <c r="N11" s="3021"/>
      <c r="O11" s="3021"/>
      <c r="P11" s="3021"/>
      <c r="Q11" s="3021"/>
      <c r="R11" s="3022"/>
      <c r="S11" s="3008" t="s">
        <v>4294</v>
      </c>
      <c r="T11" s="3008"/>
      <c r="U11" s="3008" t="s">
        <v>27</v>
      </c>
      <c r="V11" s="3008"/>
      <c r="W11" s="3008" t="s">
        <v>28</v>
      </c>
      <c r="X11" s="3008"/>
      <c r="Y11" s="3008"/>
      <c r="Z11" s="2985"/>
      <c r="AA11" s="2986"/>
      <c r="AB11" s="2987"/>
    </row>
    <row r="12" spans="1:37" ht="12" customHeight="1" thickBot="1">
      <c r="B12" s="2870"/>
      <c r="C12" s="2870"/>
      <c r="D12" s="3000"/>
      <c r="E12" s="2869" t="s">
        <v>29</v>
      </c>
      <c r="F12" s="3001" t="s">
        <v>3734</v>
      </c>
      <c r="G12" s="3001" t="s">
        <v>3717</v>
      </c>
      <c r="H12" s="2993" t="s">
        <v>3718</v>
      </c>
      <c r="I12" s="3023" t="s">
        <v>3735</v>
      </c>
      <c r="J12" s="3023" t="s">
        <v>3732</v>
      </c>
      <c r="K12" s="3028" t="s">
        <v>3739</v>
      </c>
      <c r="L12" s="3028" t="s">
        <v>3740</v>
      </c>
      <c r="M12" s="3028" t="s">
        <v>3741</v>
      </c>
      <c r="N12" s="3028" t="s">
        <v>3742</v>
      </c>
      <c r="O12" s="3023" t="s">
        <v>3736</v>
      </c>
      <c r="P12" s="3023" t="s">
        <v>3738</v>
      </c>
      <c r="Q12" s="3023" t="s">
        <v>3737</v>
      </c>
      <c r="R12" s="2993" t="s">
        <v>3733</v>
      </c>
      <c r="S12" s="3026" t="s">
        <v>3719</v>
      </c>
      <c r="T12" s="2869" t="s">
        <v>32</v>
      </c>
      <c r="U12" s="2870" t="s">
        <v>3</v>
      </c>
      <c r="V12" s="3025" t="s">
        <v>3716</v>
      </c>
      <c r="W12" s="2870" t="s">
        <v>3</v>
      </c>
      <c r="X12" s="2870" t="s">
        <v>32</v>
      </c>
      <c r="Y12" s="2870" t="s">
        <v>0</v>
      </c>
      <c r="Z12" s="2869" t="s">
        <v>3</v>
      </c>
      <c r="AA12" s="2869" t="s">
        <v>32</v>
      </c>
      <c r="AB12" s="2869" t="s">
        <v>0</v>
      </c>
      <c r="AI12" s="2972" t="s">
        <v>3624</v>
      </c>
      <c r="AJ12" s="2973"/>
      <c r="AK12" s="2974"/>
    </row>
    <row r="13" spans="1:37" ht="28.5" customHeight="1" thickBot="1">
      <c r="B13" s="2871"/>
      <c r="C13" s="2871"/>
      <c r="D13" s="2979"/>
      <c r="E13" s="2871"/>
      <c r="F13" s="3002"/>
      <c r="G13" s="3002"/>
      <c r="H13" s="2994"/>
      <c r="I13" s="3024"/>
      <c r="J13" s="3024"/>
      <c r="K13" s="3029"/>
      <c r="L13" s="3029"/>
      <c r="M13" s="3029"/>
      <c r="N13" s="3029"/>
      <c r="O13" s="3024"/>
      <c r="P13" s="3024"/>
      <c r="Q13" s="3024"/>
      <c r="R13" s="2994"/>
      <c r="S13" s="3027"/>
      <c r="T13" s="2871"/>
      <c r="U13" s="2871"/>
      <c r="V13" s="3002"/>
      <c r="W13" s="2871"/>
      <c r="X13" s="2871"/>
      <c r="Y13" s="2871"/>
      <c r="Z13" s="2871"/>
      <c r="AA13" s="2871"/>
      <c r="AB13" s="2871"/>
    </row>
    <row r="14" spans="1:37" s="1231" customFormat="1" ht="13.8">
      <c r="A14" s="2142" t="s">
        <v>3630</v>
      </c>
      <c r="B14" s="1568" t="s">
        <v>514</v>
      </c>
      <c r="C14" s="1270" t="s">
        <v>2827</v>
      </c>
      <c r="D14" s="1271"/>
      <c r="E14" s="1266"/>
      <c r="F14" s="1267"/>
      <c r="G14" s="1487"/>
      <c r="H14" s="1267"/>
      <c r="I14" s="1485">
        <f t="shared" ref="I14:I66" si="0">ROUND(E14*F14,2)</f>
        <v>0</v>
      </c>
      <c r="J14" s="1485">
        <f t="shared" ref="J14:J66" si="1">ROUND(E14*G14,2)</f>
        <v>0</v>
      </c>
      <c r="K14" s="1485"/>
      <c r="L14" s="1485">
        <f t="shared" ref="L14:L67" si="2">E14-N14</f>
        <v>0</v>
      </c>
      <c r="M14" s="1485"/>
      <c r="N14" s="1485">
        <f t="shared" ref="N14:N67" si="3">ROUND(M14,2)</f>
        <v>0</v>
      </c>
      <c r="O14" s="1485">
        <f t="shared" ref="O14:O67" si="4">ROUND(L14*G14,2)</f>
        <v>0</v>
      </c>
      <c r="P14" s="1485">
        <f t="shared" ref="P14:P67" si="5">ROUND(N14*G14,2)</f>
        <v>0</v>
      </c>
      <c r="Q14" s="1485">
        <f t="shared" ref="Q14:Q67" si="6">ROUND(N14*H14,2)</f>
        <v>0</v>
      </c>
      <c r="R14" s="1597"/>
      <c r="S14" s="1233"/>
      <c r="T14" s="1232"/>
      <c r="U14" s="1479"/>
      <c r="V14" s="1232"/>
      <c r="W14" s="1233"/>
      <c r="X14" s="1366"/>
      <c r="Y14" s="1426" t="str">
        <f t="shared" ref="Y14:Y68" si="7">+IF(D14=0,"",X14/R14)</f>
        <v/>
      </c>
      <c r="Z14" s="1427"/>
      <c r="AA14" s="1234"/>
      <c r="AB14" s="1428" t="str">
        <f t="shared" ref="AB14:AB68" si="8">+IF(R14=0,"",AA14/R14)</f>
        <v/>
      </c>
      <c r="AC14" s="1423">
        <f t="shared" ref="AC14:AC66" si="9">+R14-X14-AA14</f>
        <v>0</v>
      </c>
      <c r="AD14" s="1423">
        <f t="shared" ref="AD14:AD66" si="10">+E14-W14-Z14</f>
        <v>0</v>
      </c>
      <c r="AE14" s="1230"/>
      <c r="AF14" s="1230">
        <f t="shared" ref="AF14:AF66" si="11">+AE14-R14</f>
        <v>0</v>
      </c>
      <c r="AG14" s="1230"/>
      <c r="AH14" s="1423">
        <f t="shared" ref="AH14:AH66" si="12">+AG14-H14</f>
        <v>0</v>
      </c>
      <c r="AI14" s="1349"/>
    </row>
    <row r="15" spans="1:37" s="1231" customFormat="1" ht="13.8">
      <c r="A15" s="2142"/>
      <c r="B15" s="1263" t="s">
        <v>515</v>
      </c>
      <c r="C15" s="1264" t="s">
        <v>3501</v>
      </c>
      <c r="D15" s="1265"/>
      <c r="E15" s="1266"/>
      <c r="F15" s="1267"/>
      <c r="G15" s="1487"/>
      <c r="H15" s="1267"/>
      <c r="I15" s="1485">
        <f t="shared" si="0"/>
        <v>0</v>
      </c>
      <c r="J15" s="1485">
        <f t="shared" si="1"/>
        <v>0</v>
      </c>
      <c r="K15" s="1485"/>
      <c r="L15" s="1485">
        <f t="shared" si="2"/>
        <v>0</v>
      </c>
      <c r="M15" s="1485"/>
      <c r="N15" s="1485">
        <f t="shared" si="3"/>
        <v>0</v>
      </c>
      <c r="O15" s="1485">
        <f t="shared" si="4"/>
        <v>0</v>
      </c>
      <c r="P15" s="1485">
        <f t="shared" si="5"/>
        <v>0</v>
      </c>
      <c r="Q15" s="1485">
        <f t="shared" si="6"/>
        <v>0</v>
      </c>
      <c r="R15" s="1597">
        <f t="shared" ref="R15:R67" si="13">O15+Q15</f>
        <v>0</v>
      </c>
      <c r="S15" s="1233"/>
      <c r="T15" s="1232"/>
      <c r="U15" s="1479"/>
      <c r="V15" s="1232">
        <f t="shared" ref="V15:V68" si="14">+U15*H15</f>
        <v>0</v>
      </c>
      <c r="W15" s="1233"/>
      <c r="X15" s="1366"/>
      <c r="Y15" s="1426" t="str">
        <f t="shared" si="7"/>
        <v/>
      </c>
      <c r="Z15" s="1427"/>
      <c r="AA15" s="1234">
        <f t="shared" ref="AA15:AA68" si="15">+Z15*H15</f>
        <v>0</v>
      </c>
      <c r="AB15" s="1428" t="str">
        <f t="shared" si="8"/>
        <v/>
      </c>
      <c r="AC15" s="1423">
        <f t="shared" si="9"/>
        <v>0</v>
      </c>
      <c r="AD15" s="1423">
        <f t="shared" si="10"/>
        <v>0</v>
      </c>
      <c r="AE15" s="1230"/>
      <c r="AF15" s="1230">
        <f t="shared" si="11"/>
        <v>0</v>
      </c>
      <c r="AG15" s="1230"/>
      <c r="AH15" s="1423">
        <f t="shared" si="12"/>
        <v>0</v>
      </c>
      <c r="AI15" s="1349"/>
    </row>
    <row r="16" spans="1:37" s="1417" customFormat="1" ht="13.8">
      <c r="A16" s="2141"/>
      <c r="B16" s="1272" t="s">
        <v>1805</v>
      </c>
      <c r="C16" s="1262" t="s">
        <v>3502</v>
      </c>
      <c r="D16" s="1273"/>
      <c r="E16" s="1420"/>
      <c r="F16" s="1267"/>
      <c r="G16" s="1487"/>
      <c r="H16" s="1421"/>
      <c r="I16" s="1485">
        <f t="shared" si="0"/>
        <v>0</v>
      </c>
      <c r="J16" s="1485">
        <f t="shared" si="1"/>
        <v>0</v>
      </c>
      <c r="K16" s="1485"/>
      <c r="L16" s="1485">
        <f t="shared" si="2"/>
        <v>0</v>
      </c>
      <c r="M16" s="1485"/>
      <c r="N16" s="1485">
        <f t="shared" si="3"/>
        <v>0</v>
      </c>
      <c r="O16" s="1485">
        <f t="shared" si="4"/>
        <v>0</v>
      </c>
      <c r="P16" s="1485">
        <f t="shared" si="5"/>
        <v>0</v>
      </c>
      <c r="Q16" s="1485">
        <f t="shared" si="6"/>
        <v>0</v>
      </c>
      <c r="R16" s="1597">
        <f t="shared" si="13"/>
        <v>0</v>
      </c>
      <c r="S16" s="1425"/>
      <c r="T16" s="1232"/>
      <c r="U16" s="1479"/>
      <c r="V16" s="1232">
        <f t="shared" si="14"/>
        <v>0</v>
      </c>
      <c r="W16" s="1425"/>
      <c r="X16" s="1366"/>
      <c r="Y16" s="1426" t="str">
        <f t="shared" si="7"/>
        <v/>
      </c>
      <c r="Z16" s="1427"/>
      <c r="AA16" s="1234">
        <f t="shared" si="15"/>
        <v>0</v>
      </c>
      <c r="AB16" s="1428" t="str">
        <f t="shared" si="8"/>
        <v/>
      </c>
      <c r="AC16" s="1423">
        <f t="shared" si="9"/>
        <v>0</v>
      </c>
      <c r="AD16" s="1423">
        <f t="shared" si="10"/>
        <v>0</v>
      </c>
      <c r="AE16" s="1423"/>
      <c r="AF16" s="1423">
        <f t="shared" si="11"/>
        <v>0</v>
      </c>
      <c r="AG16" s="1423"/>
      <c r="AH16" s="1423">
        <f t="shared" si="12"/>
        <v>0</v>
      </c>
      <c r="AI16" s="1434"/>
    </row>
    <row r="17" spans="1:35" s="1231" customFormat="1" ht="13.8">
      <c r="A17" s="2142"/>
      <c r="B17" s="1562" t="s">
        <v>2759</v>
      </c>
      <c r="C17" s="1563" t="s">
        <v>3503</v>
      </c>
      <c r="D17" s="1564"/>
      <c r="E17" s="1266"/>
      <c r="F17" s="1267"/>
      <c r="G17" s="1487"/>
      <c r="H17" s="1267"/>
      <c r="I17" s="1485">
        <f t="shared" si="0"/>
        <v>0</v>
      </c>
      <c r="J17" s="1485">
        <f t="shared" si="1"/>
        <v>0</v>
      </c>
      <c r="K17" s="1485"/>
      <c r="L17" s="1485">
        <f t="shared" si="2"/>
        <v>0</v>
      </c>
      <c r="M17" s="1485"/>
      <c r="N17" s="1485">
        <f t="shared" si="3"/>
        <v>0</v>
      </c>
      <c r="O17" s="1485">
        <f t="shared" si="4"/>
        <v>0</v>
      </c>
      <c r="P17" s="1485">
        <f t="shared" si="5"/>
        <v>0</v>
      </c>
      <c r="Q17" s="1485">
        <f t="shared" si="6"/>
        <v>0</v>
      </c>
      <c r="R17" s="1597">
        <f t="shared" si="13"/>
        <v>0</v>
      </c>
      <c r="S17" s="1233"/>
      <c r="T17" s="1232"/>
      <c r="U17" s="1479"/>
      <c r="V17" s="1232">
        <f t="shared" si="14"/>
        <v>0</v>
      </c>
      <c r="W17" s="1233"/>
      <c r="X17" s="1366"/>
      <c r="Y17" s="1426" t="str">
        <f t="shared" si="7"/>
        <v/>
      </c>
      <c r="Z17" s="1427"/>
      <c r="AA17" s="1234">
        <f t="shared" si="15"/>
        <v>0</v>
      </c>
      <c r="AB17" s="1428" t="str">
        <f t="shared" si="8"/>
        <v/>
      </c>
      <c r="AC17" s="1423">
        <f t="shared" si="9"/>
        <v>0</v>
      </c>
      <c r="AD17" s="1423">
        <f t="shared" si="10"/>
        <v>0</v>
      </c>
      <c r="AE17" s="1230"/>
      <c r="AF17" s="1230">
        <f t="shared" si="11"/>
        <v>0</v>
      </c>
      <c r="AG17" s="1230"/>
      <c r="AH17" s="1423">
        <f t="shared" si="12"/>
        <v>0</v>
      </c>
      <c r="AI17" s="1349"/>
    </row>
    <row r="18" spans="1:35" s="1231" customFormat="1" ht="13.8">
      <c r="A18" s="2142"/>
      <c r="B18" s="1569" t="s">
        <v>2760</v>
      </c>
      <c r="C18" s="1570" t="s">
        <v>3504</v>
      </c>
      <c r="D18" s="1571"/>
      <c r="E18" s="1266"/>
      <c r="F18" s="1267"/>
      <c r="G18" s="1487"/>
      <c r="H18" s="1267"/>
      <c r="I18" s="1485">
        <f t="shared" si="0"/>
        <v>0</v>
      </c>
      <c r="J18" s="1485">
        <f t="shared" si="1"/>
        <v>0</v>
      </c>
      <c r="K18" s="1485"/>
      <c r="L18" s="1485">
        <f t="shared" si="2"/>
        <v>0</v>
      </c>
      <c r="M18" s="1485"/>
      <c r="N18" s="1485">
        <f t="shared" si="3"/>
        <v>0</v>
      </c>
      <c r="O18" s="1485">
        <f t="shared" si="4"/>
        <v>0</v>
      </c>
      <c r="P18" s="1485">
        <f t="shared" si="5"/>
        <v>0</v>
      </c>
      <c r="Q18" s="1485">
        <f t="shared" si="6"/>
        <v>0</v>
      </c>
      <c r="R18" s="1597">
        <f t="shared" si="13"/>
        <v>0</v>
      </c>
      <c r="S18" s="1233"/>
      <c r="T18" s="1232"/>
      <c r="U18" s="1479"/>
      <c r="V18" s="1232">
        <f t="shared" si="14"/>
        <v>0</v>
      </c>
      <c r="W18" s="1233"/>
      <c r="X18" s="1366"/>
      <c r="Y18" s="1426" t="str">
        <f t="shared" si="7"/>
        <v/>
      </c>
      <c r="Z18" s="1427"/>
      <c r="AA18" s="1234">
        <f t="shared" si="15"/>
        <v>0</v>
      </c>
      <c r="AB18" s="1428" t="str">
        <f t="shared" si="8"/>
        <v/>
      </c>
      <c r="AC18" s="1423">
        <f t="shared" si="9"/>
        <v>0</v>
      </c>
      <c r="AD18" s="1423">
        <f t="shared" si="10"/>
        <v>0</v>
      </c>
      <c r="AE18" s="1230"/>
      <c r="AF18" s="1230">
        <f t="shared" si="11"/>
        <v>0</v>
      </c>
      <c r="AG18" s="1230"/>
      <c r="AH18" s="1423">
        <f t="shared" si="12"/>
        <v>0</v>
      </c>
      <c r="AI18" s="1349"/>
    </row>
    <row r="19" spans="1:35" s="1417" customFormat="1" ht="13.8">
      <c r="A19" s="2141"/>
      <c r="B19" s="1268" t="s">
        <v>2761</v>
      </c>
      <c r="C19" s="1241" t="s">
        <v>3505</v>
      </c>
      <c r="D19" s="1245" t="s">
        <v>40</v>
      </c>
      <c r="E19" s="1418">
        <v>84.33</v>
      </c>
      <c r="F19" s="1575">
        <v>42.73</v>
      </c>
      <c r="G19" s="1487">
        <v>46.72</v>
      </c>
      <c r="H19" s="1419">
        <v>48.65</v>
      </c>
      <c r="I19" s="1485">
        <f t="shared" si="0"/>
        <v>3603.42</v>
      </c>
      <c r="J19" s="1485">
        <f t="shared" si="1"/>
        <v>3939.9</v>
      </c>
      <c r="K19" s="1485">
        <v>0</v>
      </c>
      <c r="L19" s="1485">
        <f t="shared" si="2"/>
        <v>0</v>
      </c>
      <c r="M19" s="1485">
        <v>84.33</v>
      </c>
      <c r="N19" s="1485">
        <f t="shared" si="3"/>
        <v>84.33</v>
      </c>
      <c r="O19" s="1485">
        <f t="shared" si="4"/>
        <v>0</v>
      </c>
      <c r="P19" s="1485">
        <f t="shared" si="5"/>
        <v>3939.9</v>
      </c>
      <c r="Q19" s="1485">
        <f t="shared" si="6"/>
        <v>4102.6499999999996</v>
      </c>
      <c r="R19" s="1597">
        <f t="shared" si="13"/>
        <v>4102.6499999999996</v>
      </c>
      <c r="S19" s="1425">
        <v>62</v>
      </c>
      <c r="T19" s="1232">
        <v>3016.3</v>
      </c>
      <c r="U19" s="1479">
        <f>+[34]Hoja13!$O$13</f>
        <v>22.33</v>
      </c>
      <c r="V19" s="1232">
        <f t="shared" si="14"/>
        <v>1086.3544999999999</v>
      </c>
      <c r="W19" s="1425">
        <f t="shared" ref="W19:W25" si="16">S19+U19</f>
        <v>84.33</v>
      </c>
      <c r="X19" s="1366">
        <f t="shared" ref="X19:X67" si="17">+V19+T19</f>
        <v>4102.6545000000006</v>
      </c>
      <c r="Y19" s="1426">
        <f t="shared" si="7"/>
        <v>1.000001096852035</v>
      </c>
      <c r="Z19" s="1427">
        <f t="shared" ref="Z19:Z25" si="18">+E19-W19</f>
        <v>0</v>
      </c>
      <c r="AA19" s="1234">
        <f t="shared" si="15"/>
        <v>0</v>
      </c>
      <c r="AB19" s="1428">
        <f t="shared" si="8"/>
        <v>0</v>
      </c>
      <c r="AC19" s="1423">
        <f t="shared" si="9"/>
        <v>-4.5000000009167707E-3</v>
      </c>
      <c r="AD19" s="1423">
        <f t="shared" si="10"/>
        <v>0</v>
      </c>
      <c r="AE19" s="1423">
        <v>4102.6544999999996</v>
      </c>
      <c r="AF19" s="1423">
        <f t="shared" si="11"/>
        <v>4.500000000007276E-3</v>
      </c>
      <c r="AG19" s="1423">
        <v>48.65</v>
      </c>
      <c r="AH19" s="1423">
        <f t="shared" si="12"/>
        <v>0</v>
      </c>
      <c r="AI19" s="1434"/>
    </row>
    <row r="20" spans="1:35" s="1417" customFormat="1" ht="13.8">
      <c r="A20" s="2141"/>
      <c r="B20" s="1268" t="s">
        <v>2762</v>
      </c>
      <c r="C20" s="1241" t="s">
        <v>3506</v>
      </c>
      <c r="D20" s="1245" t="s">
        <v>40</v>
      </c>
      <c r="E20" s="1418">
        <v>8.1</v>
      </c>
      <c r="F20" s="1575">
        <v>42.73</v>
      </c>
      <c r="G20" s="1487">
        <v>46.72</v>
      </c>
      <c r="H20" s="1419">
        <v>48.65</v>
      </c>
      <c r="I20" s="1485">
        <f t="shared" si="0"/>
        <v>346.11</v>
      </c>
      <c r="J20" s="1485">
        <f t="shared" si="1"/>
        <v>378.43</v>
      </c>
      <c r="K20" s="1485">
        <v>0</v>
      </c>
      <c r="L20" s="1485">
        <f t="shared" si="2"/>
        <v>0</v>
      </c>
      <c r="M20" s="1485">
        <v>8.1</v>
      </c>
      <c r="N20" s="1485">
        <f t="shared" si="3"/>
        <v>8.1</v>
      </c>
      <c r="O20" s="1485">
        <f t="shared" si="4"/>
        <v>0</v>
      </c>
      <c r="P20" s="1485">
        <f t="shared" si="5"/>
        <v>378.43</v>
      </c>
      <c r="Q20" s="1485">
        <f t="shared" si="6"/>
        <v>394.07</v>
      </c>
      <c r="R20" s="1597">
        <f t="shared" si="13"/>
        <v>394.07</v>
      </c>
      <c r="S20" s="1425">
        <v>5</v>
      </c>
      <c r="T20" s="1232">
        <v>243.25</v>
      </c>
      <c r="U20" s="1479">
        <f>+[34]Hoja13!$O$14</f>
        <v>3.1</v>
      </c>
      <c r="V20" s="1232">
        <f t="shared" si="14"/>
        <v>150.815</v>
      </c>
      <c r="W20" s="1425">
        <f t="shared" si="16"/>
        <v>8.1</v>
      </c>
      <c r="X20" s="1366">
        <f t="shared" si="17"/>
        <v>394.065</v>
      </c>
      <c r="Y20" s="1426">
        <f t="shared" si="7"/>
        <v>0.99998731189890122</v>
      </c>
      <c r="Z20" s="1427">
        <f t="shared" si="18"/>
        <v>0</v>
      </c>
      <c r="AA20" s="1234">
        <f t="shared" si="15"/>
        <v>0</v>
      </c>
      <c r="AB20" s="1428">
        <f t="shared" si="8"/>
        <v>0</v>
      </c>
      <c r="AC20" s="1423">
        <f t="shared" si="9"/>
        <v>4.9999999999954525E-3</v>
      </c>
      <c r="AD20" s="1423">
        <f t="shared" si="10"/>
        <v>0</v>
      </c>
      <c r="AE20" s="1423">
        <v>394.065</v>
      </c>
      <c r="AF20" s="1423">
        <f t="shared" si="11"/>
        <v>-4.9999999999954525E-3</v>
      </c>
      <c r="AG20" s="1423">
        <v>48.65</v>
      </c>
      <c r="AH20" s="1423">
        <f t="shared" si="12"/>
        <v>0</v>
      </c>
      <c r="AI20" s="1434"/>
    </row>
    <row r="21" spans="1:35" s="1417" customFormat="1" ht="13.8">
      <c r="A21" s="2141"/>
      <c r="B21" s="1268" t="s">
        <v>2763</v>
      </c>
      <c r="C21" s="1241" t="s">
        <v>3507</v>
      </c>
      <c r="D21" s="1245" t="s">
        <v>40</v>
      </c>
      <c r="E21" s="1418">
        <v>7.03</v>
      </c>
      <c r="F21" s="1575">
        <v>44.71</v>
      </c>
      <c r="G21" s="1487">
        <v>46.42</v>
      </c>
      <c r="H21" s="1419">
        <v>47.25</v>
      </c>
      <c r="I21" s="1485">
        <f t="shared" si="0"/>
        <v>314.31</v>
      </c>
      <c r="J21" s="1485">
        <f t="shared" si="1"/>
        <v>326.33</v>
      </c>
      <c r="K21" s="1485">
        <v>0</v>
      </c>
      <c r="L21" s="1485">
        <f t="shared" si="2"/>
        <v>0</v>
      </c>
      <c r="M21" s="1485">
        <v>7.03</v>
      </c>
      <c r="N21" s="1485">
        <f t="shared" si="3"/>
        <v>7.03</v>
      </c>
      <c r="O21" s="1485">
        <f t="shared" si="4"/>
        <v>0</v>
      </c>
      <c r="P21" s="1485">
        <f t="shared" si="5"/>
        <v>326.33</v>
      </c>
      <c r="Q21" s="1485">
        <f t="shared" si="6"/>
        <v>332.17</v>
      </c>
      <c r="R21" s="1597">
        <f t="shared" si="13"/>
        <v>332.17</v>
      </c>
      <c r="S21" s="1425">
        <v>5</v>
      </c>
      <c r="T21" s="1232">
        <v>236.25</v>
      </c>
      <c r="U21" s="1479">
        <f>+[34]Hoja13!$O$15</f>
        <v>2.0300000000000002</v>
      </c>
      <c r="V21" s="1232">
        <f t="shared" si="14"/>
        <v>95.917500000000018</v>
      </c>
      <c r="W21" s="1425">
        <f t="shared" si="16"/>
        <v>7.03</v>
      </c>
      <c r="X21" s="1366">
        <f t="shared" si="17"/>
        <v>332.16750000000002</v>
      </c>
      <c r="Y21" s="1426">
        <f t="shared" si="7"/>
        <v>0.99999247373332933</v>
      </c>
      <c r="Z21" s="1427">
        <f t="shared" si="18"/>
        <v>0</v>
      </c>
      <c r="AA21" s="1234">
        <f t="shared" si="15"/>
        <v>0</v>
      </c>
      <c r="AB21" s="1428">
        <f t="shared" si="8"/>
        <v>0</v>
      </c>
      <c r="AC21" s="1423">
        <f t="shared" si="9"/>
        <v>2.4999999999977263E-3</v>
      </c>
      <c r="AD21" s="1423">
        <f t="shared" si="10"/>
        <v>0</v>
      </c>
      <c r="AE21" s="1423">
        <v>332.16750000000002</v>
      </c>
      <c r="AF21" s="1423">
        <f t="shared" si="11"/>
        <v>-2.4999999999977263E-3</v>
      </c>
      <c r="AG21" s="1423">
        <v>47.25</v>
      </c>
      <c r="AH21" s="1423">
        <f t="shared" si="12"/>
        <v>0</v>
      </c>
      <c r="AI21" s="1434"/>
    </row>
    <row r="22" spans="1:35" s="1417" customFormat="1" ht="13.8">
      <c r="A22" s="2141"/>
      <c r="B22" s="1268" t="s">
        <v>2764</v>
      </c>
      <c r="C22" s="1241" t="s">
        <v>3508</v>
      </c>
      <c r="D22" s="1245" t="s">
        <v>40</v>
      </c>
      <c r="E22" s="1418">
        <v>35.14</v>
      </c>
      <c r="F22" s="1575">
        <v>18.309999999999999</v>
      </c>
      <c r="G22" s="1487">
        <v>20.02</v>
      </c>
      <c r="H22" s="1419">
        <v>20.85</v>
      </c>
      <c r="I22" s="1485">
        <f t="shared" si="0"/>
        <v>643.41</v>
      </c>
      <c r="J22" s="1485">
        <f t="shared" si="1"/>
        <v>703.5</v>
      </c>
      <c r="K22" s="1485">
        <v>0</v>
      </c>
      <c r="L22" s="1485">
        <f t="shared" si="2"/>
        <v>0</v>
      </c>
      <c r="M22" s="1485">
        <v>35.14</v>
      </c>
      <c r="N22" s="1485">
        <f t="shared" si="3"/>
        <v>35.14</v>
      </c>
      <c r="O22" s="1485">
        <f t="shared" si="4"/>
        <v>0</v>
      </c>
      <c r="P22" s="1485">
        <f t="shared" si="5"/>
        <v>703.5</v>
      </c>
      <c r="Q22" s="1485">
        <f t="shared" si="6"/>
        <v>732.67</v>
      </c>
      <c r="R22" s="1597">
        <f t="shared" si="13"/>
        <v>732.67</v>
      </c>
      <c r="S22" s="1425">
        <v>31</v>
      </c>
      <c r="T22" s="1232">
        <v>646.35</v>
      </c>
      <c r="U22" s="1479">
        <f>+[34]Hoja13!$O$16</f>
        <v>4.1400000000000006</v>
      </c>
      <c r="V22" s="1232">
        <f t="shared" si="14"/>
        <v>86.319000000000017</v>
      </c>
      <c r="W22" s="1425">
        <f t="shared" si="16"/>
        <v>35.14</v>
      </c>
      <c r="X22" s="1366">
        <f t="shared" si="17"/>
        <v>732.6690000000001</v>
      </c>
      <c r="Y22" s="1426">
        <f t="shared" si="7"/>
        <v>0.99999863512904874</v>
      </c>
      <c r="Z22" s="1427">
        <f t="shared" si="18"/>
        <v>0</v>
      </c>
      <c r="AA22" s="1234">
        <f t="shared" si="15"/>
        <v>0</v>
      </c>
      <c r="AB22" s="1428">
        <f t="shared" si="8"/>
        <v>0</v>
      </c>
      <c r="AC22" s="1423">
        <f t="shared" si="9"/>
        <v>9.999999998626663E-4</v>
      </c>
      <c r="AD22" s="1423">
        <f t="shared" si="10"/>
        <v>0</v>
      </c>
      <c r="AE22" s="1423">
        <v>732.6690000000001</v>
      </c>
      <c r="AF22" s="1423">
        <f t="shared" si="11"/>
        <v>-9.999999998626663E-4</v>
      </c>
      <c r="AG22" s="1423">
        <v>20.85</v>
      </c>
      <c r="AH22" s="1423">
        <f t="shared" si="12"/>
        <v>0</v>
      </c>
      <c r="AI22" s="1434"/>
    </row>
    <row r="23" spans="1:35" s="1417" customFormat="1" ht="13.8">
      <c r="A23" s="2141"/>
      <c r="B23" s="1268" t="s">
        <v>2765</v>
      </c>
      <c r="C23" s="1241" t="s">
        <v>3509</v>
      </c>
      <c r="D23" s="1245" t="s">
        <v>40</v>
      </c>
      <c r="E23" s="1418">
        <v>42.17</v>
      </c>
      <c r="F23" s="1575">
        <v>18.309999999999999</v>
      </c>
      <c r="G23" s="1487">
        <v>20.02</v>
      </c>
      <c r="H23" s="1419">
        <v>20.85</v>
      </c>
      <c r="I23" s="1485">
        <f t="shared" si="0"/>
        <v>772.13</v>
      </c>
      <c r="J23" s="1485">
        <f t="shared" si="1"/>
        <v>844.24</v>
      </c>
      <c r="K23" s="1485">
        <v>0</v>
      </c>
      <c r="L23" s="1485">
        <f t="shared" si="2"/>
        <v>0</v>
      </c>
      <c r="M23" s="1485">
        <v>42.17</v>
      </c>
      <c r="N23" s="1485">
        <f t="shared" si="3"/>
        <v>42.17</v>
      </c>
      <c r="O23" s="1485">
        <f t="shared" si="4"/>
        <v>0</v>
      </c>
      <c r="P23" s="1485">
        <f t="shared" si="5"/>
        <v>844.24</v>
      </c>
      <c r="Q23" s="1485">
        <f t="shared" si="6"/>
        <v>879.24</v>
      </c>
      <c r="R23" s="1597">
        <f t="shared" si="13"/>
        <v>879.24</v>
      </c>
      <c r="S23" s="1425">
        <v>41</v>
      </c>
      <c r="T23" s="1232">
        <v>854.85</v>
      </c>
      <c r="U23" s="1479">
        <f>+[34]Hoja13!$O$17</f>
        <v>1.1700000000000017</v>
      </c>
      <c r="V23" s="1232">
        <f t="shared" si="14"/>
        <v>24.394500000000036</v>
      </c>
      <c r="W23" s="1425">
        <f t="shared" si="16"/>
        <v>42.17</v>
      </c>
      <c r="X23" s="1366">
        <f t="shared" si="17"/>
        <v>879.24450000000002</v>
      </c>
      <c r="Y23" s="1426">
        <f t="shared" si="7"/>
        <v>1.0000051180565033</v>
      </c>
      <c r="Z23" s="1427">
        <f t="shared" si="18"/>
        <v>0</v>
      </c>
      <c r="AA23" s="1234">
        <f t="shared" si="15"/>
        <v>0</v>
      </c>
      <c r="AB23" s="1428">
        <f t="shared" si="8"/>
        <v>0</v>
      </c>
      <c r="AC23" s="1423">
        <f t="shared" si="9"/>
        <v>-4.500000000007276E-3</v>
      </c>
      <c r="AD23" s="1423">
        <f t="shared" si="10"/>
        <v>0</v>
      </c>
      <c r="AE23" s="1423">
        <v>879.24450000000013</v>
      </c>
      <c r="AF23" s="1423">
        <f t="shared" si="11"/>
        <v>4.5000000001209628E-3</v>
      </c>
      <c r="AG23" s="1423">
        <v>20.85</v>
      </c>
      <c r="AH23" s="1423">
        <f t="shared" si="12"/>
        <v>0</v>
      </c>
      <c r="AI23" s="1434"/>
    </row>
    <row r="24" spans="1:35" s="1417" customFormat="1" ht="13.8">
      <c r="A24" s="2141"/>
      <c r="B24" s="1268" t="s">
        <v>2766</v>
      </c>
      <c r="C24" s="1241" t="s">
        <v>3510</v>
      </c>
      <c r="D24" s="1245" t="s">
        <v>40</v>
      </c>
      <c r="E24" s="1418">
        <v>1.86</v>
      </c>
      <c r="F24" s="1575">
        <v>94.65</v>
      </c>
      <c r="G24" s="1487">
        <v>97.04</v>
      </c>
      <c r="H24" s="1419">
        <v>98.19</v>
      </c>
      <c r="I24" s="1485">
        <f t="shared" si="0"/>
        <v>176.05</v>
      </c>
      <c r="J24" s="1485">
        <f t="shared" si="1"/>
        <v>180.49</v>
      </c>
      <c r="K24" s="1485">
        <v>0</v>
      </c>
      <c r="L24" s="1485">
        <f t="shared" si="2"/>
        <v>0</v>
      </c>
      <c r="M24" s="1485">
        <v>1.86</v>
      </c>
      <c r="N24" s="1485">
        <f t="shared" si="3"/>
        <v>1.86</v>
      </c>
      <c r="O24" s="1485">
        <f t="shared" si="4"/>
        <v>0</v>
      </c>
      <c r="P24" s="1485">
        <f t="shared" si="5"/>
        <v>180.49</v>
      </c>
      <c r="Q24" s="1485">
        <f t="shared" si="6"/>
        <v>182.63</v>
      </c>
      <c r="R24" s="1597">
        <f t="shared" si="13"/>
        <v>182.63</v>
      </c>
      <c r="S24" s="1425">
        <v>1</v>
      </c>
      <c r="T24" s="1232">
        <v>98.19</v>
      </c>
      <c r="U24" s="1479">
        <f>+[34]Hoja13!$O$18</f>
        <v>0.8600000000000001</v>
      </c>
      <c r="V24" s="1232">
        <f t="shared" si="14"/>
        <v>84.443400000000011</v>
      </c>
      <c r="W24" s="1425">
        <f t="shared" si="16"/>
        <v>1.86</v>
      </c>
      <c r="X24" s="1366">
        <f t="shared" si="17"/>
        <v>182.63339999999999</v>
      </c>
      <c r="Y24" s="1426">
        <f t="shared" si="7"/>
        <v>1.0000186168756502</v>
      </c>
      <c r="Z24" s="1427">
        <f t="shared" si="18"/>
        <v>0</v>
      </c>
      <c r="AA24" s="1234">
        <f t="shared" si="15"/>
        <v>0</v>
      </c>
      <c r="AB24" s="1428">
        <f t="shared" si="8"/>
        <v>0</v>
      </c>
      <c r="AC24" s="1423">
        <f t="shared" si="9"/>
        <v>-3.3999999999991815E-3</v>
      </c>
      <c r="AD24" s="1423">
        <f t="shared" si="10"/>
        <v>0</v>
      </c>
      <c r="AE24" s="1423">
        <v>182.63339999999999</v>
      </c>
      <c r="AF24" s="1423">
        <f t="shared" si="11"/>
        <v>3.3999999999991815E-3</v>
      </c>
      <c r="AG24" s="1423">
        <v>98.19</v>
      </c>
      <c r="AH24" s="1423">
        <f t="shared" si="12"/>
        <v>0</v>
      </c>
      <c r="AI24" s="1434"/>
    </row>
    <row r="25" spans="1:35" s="1417" customFormat="1" ht="13.8">
      <c r="A25" s="2141"/>
      <c r="B25" s="1268" t="s">
        <v>2767</v>
      </c>
      <c r="C25" s="1241" t="s">
        <v>3511</v>
      </c>
      <c r="D25" s="1245" t="s">
        <v>40</v>
      </c>
      <c r="E25" s="1418">
        <v>15.12</v>
      </c>
      <c r="F25" s="1575">
        <v>3.51</v>
      </c>
      <c r="G25" s="1487">
        <v>3.69</v>
      </c>
      <c r="H25" s="1419">
        <v>3.77</v>
      </c>
      <c r="I25" s="1485">
        <f t="shared" si="0"/>
        <v>53.07</v>
      </c>
      <c r="J25" s="1485">
        <f t="shared" si="1"/>
        <v>55.79</v>
      </c>
      <c r="K25" s="1485">
        <v>0</v>
      </c>
      <c r="L25" s="1485">
        <f t="shared" si="2"/>
        <v>0</v>
      </c>
      <c r="M25" s="1485">
        <v>15.12</v>
      </c>
      <c r="N25" s="1485">
        <f t="shared" si="3"/>
        <v>15.12</v>
      </c>
      <c r="O25" s="1485">
        <f t="shared" si="4"/>
        <v>0</v>
      </c>
      <c r="P25" s="1485">
        <f t="shared" si="5"/>
        <v>55.79</v>
      </c>
      <c r="Q25" s="1485">
        <f t="shared" si="6"/>
        <v>57</v>
      </c>
      <c r="R25" s="1597">
        <f t="shared" si="13"/>
        <v>57</v>
      </c>
      <c r="S25" s="1425">
        <v>10</v>
      </c>
      <c r="T25" s="1232">
        <v>37.700000000000003</v>
      </c>
      <c r="U25" s="1479">
        <f>+[34]Hoja13!$O$19</f>
        <v>5.1199999999999992</v>
      </c>
      <c r="V25" s="1232">
        <f t="shared" si="14"/>
        <v>19.302399999999999</v>
      </c>
      <c r="W25" s="1425">
        <f t="shared" si="16"/>
        <v>15.12</v>
      </c>
      <c r="X25" s="1366">
        <f t="shared" si="17"/>
        <v>57.002400000000002</v>
      </c>
      <c r="Y25" s="1426">
        <f t="shared" si="7"/>
        <v>1.0000421052631578</v>
      </c>
      <c r="Z25" s="1427">
        <f t="shared" si="18"/>
        <v>0</v>
      </c>
      <c r="AA25" s="1234">
        <f t="shared" si="15"/>
        <v>0</v>
      </c>
      <c r="AB25" s="1428">
        <f t="shared" si="8"/>
        <v>0</v>
      </c>
      <c r="AC25" s="1423">
        <f t="shared" si="9"/>
        <v>-2.400000000001512E-3</v>
      </c>
      <c r="AD25" s="1423">
        <f t="shared" si="10"/>
        <v>0</v>
      </c>
      <c r="AE25" s="1423">
        <v>57.002399999999994</v>
      </c>
      <c r="AF25" s="1423">
        <f t="shared" si="11"/>
        <v>2.3999999999944066E-3</v>
      </c>
      <c r="AG25" s="1423">
        <v>3.77</v>
      </c>
      <c r="AH25" s="1423">
        <f t="shared" si="12"/>
        <v>0</v>
      </c>
      <c r="AI25" s="1434"/>
    </row>
    <row r="26" spans="1:35" s="1231" customFormat="1" ht="13.8">
      <c r="A26" s="2142"/>
      <c r="B26" s="1569" t="s">
        <v>2768</v>
      </c>
      <c r="C26" s="1570" t="s">
        <v>3512</v>
      </c>
      <c r="D26" s="1571"/>
      <c r="E26" s="1266"/>
      <c r="F26" s="1267"/>
      <c r="G26" s="1487"/>
      <c r="H26" s="1267"/>
      <c r="I26" s="1485">
        <f t="shared" si="0"/>
        <v>0</v>
      </c>
      <c r="J26" s="1485">
        <f t="shared" si="1"/>
        <v>0</v>
      </c>
      <c r="K26" s="1485"/>
      <c r="L26" s="1485">
        <f t="shared" si="2"/>
        <v>0</v>
      </c>
      <c r="M26" s="1485"/>
      <c r="N26" s="1485">
        <f t="shared" si="3"/>
        <v>0</v>
      </c>
      <c r="O26" s="1485">
        <f t="shared" si="4"/>
        <v>0</v>
      </c>
      <c r="P26" s="1485">
        <f t="shared" si="5"/>
        <v>0</v>
      </c>
      <c r="Q26" s="1485">
        <f t="shared" si="6"/>
        <v>0</v>
      </c>
      <c r="R26" s="1597">
        <f t="shared" si="13"/>
        <v>0</v>
      </c>
      <c r="S26" s="1233"/>
      <c r="T26" s="1232"/>
      <c r="U26" s="1479"/>
      <c r="V26" s="1232">
        <f t="shared" si="14"/>
        <v>0</v>
      </c>
      <c r="W26" s="1233"/>
      <c r="X26" s="1366"/>
      <c r="Y26" s="1426" t="str">
        <f t="shared" si="7"/>
        <v/>
      </c>
      <c r="Z26" s="1427"/>
      <c r="AA26" s="1234">
        <f t="shared" si="15"/>
        <v>0</v>
      </c>
      <c r="AB26" s="1428" t="str">
        <f t="shared" si="8"/>
        <v/>
      </c>
      <c r="AC26" s="1423">
        <f t="shared" si="9"/>
        <v>0</v>
      </c>
      <c r="AD26" s="1423">
        <f t="shared" si="10"/>
        <v>0</v>
      </c>
      <c r="AE26" s="1230"/>
      <c r="AF26" s="1230">
        <f t="shared" si="11"/>
        <v>0</v>
      </c>
      <c r="AG26" s="1230"/>
      <c r="AH26" s="1423">
        <f t="shared" si="12"/>
        <v>0</v>
      </c>
      <c r="AI26" s="1349"/>
    </row>
    <row r="27" spans="1:35" s="1417" customFormat="1" ht="13.8">
      <c r="A27" s="2141"/>
      <c r="B27" s="1268" t="s">
        <v>2769</v>
      </c>
      <c r="C27" s="1241" t="s">
        <v>3513</v>
      </c>
      <c r="D27" s="1245" t="s">
        <v>36</v>
      </c>
      <c r="E27" s="1418">
        <v>22</v>
      </c>
      <c r="F27" s="1575">
        <v>245.26</v>
      </c>
      <c r="G27" s="1487">
        <v>258.86</v>
      </c>
      <c r="H27" s="1419">
        <v>265.82</v>
      </c>
      <c r="I27" s="1485">
        <f t="shared" si="0"/>
        <v>5395.72</v>
      </c>
      <c r="J27" s="1485">
        <f t="shared" si="1"/>
        <v>5694.92</v>
      </c>
      <c r="K27" s="1485">
        <v>0</v>
      </c>
      <c r="L27" s="1485">
        <f t="shared" si="2"/>
        <v>0</v>
      </c>
      <c r="M27" s="1485">
        <v>22</v>
      </c>
      <c r="N27" s="1485">
        <f t="shared" si="3"/>
        <v>22</v>
      </c>
      <c r="O27" s="1485">
        <f t="shared" si="4"/>
        <v>0</v>
      </c>
      <c r="P27" s="1485">
        <f t="shared" si="5"/>
        <v>5694.92</v>
      </c>
      <c r="Q27" s="1485">
        <f t="shared" si="6"/>
        <v>5848.04</v>
      </c>
      <c r="R27" s="1597">
        <f t="shared" si="13"/>
        <v>5848.04</v>
      </c>
      <c r="S27" s="1425">
        <v>8</v>
      </c>
      <c r="T27" s="1232">
        <v>2126.56</v>
      </c>
      <c r="U27" s="1479">
        <f>+[34]Hoja13!$O$21</f>
        <v>8</v>
      </c>
      <c r="V27" s="1232">
        <f t="shared" si="14"/>
        <v>2126.56</v>
      </c>
      <c r="W27" s="1425">
        <f>S27+U27</f>
        <v>16</v>
      </c>
      <c r="X27" s="1366">
        <f t="shared" si="17"/>
        <v>4253.12</v>
      </c>
      <c r="Y27" s="1426">
        <f t="shared" si="7"/>
        <v>0.72727272727272729</v>
      </c>
      <c r="Z27" s="1427">
        <f>+E27-W27</f>
        <v>6</v>
      </c>
      <c r="AA27" s="1234">
        <f t="shared" si="15"/>
        <v>1594.92</v>
      </c>
      <c r="AB27" s="1428">
        <f t="shared" si="8"/>
        <v>0.27272727272727276</v>
      </c>
      <c r="AC27" s="1423">
        <f t="shared" si="9"/>
        <v>0</v>
      </c>
      <c r="AD27" s="1423">
        <f t="shared" si="10"/>
        <v>0</v>
      </c>
      <c r="AE27" s="1423">
        <v>5848.04</v>
      </c>
      <c r="AF27" s="1423">
        <f t="shared" si="11"/>
        <v>0</v>
      </c>
      <c r="AG27" s="1423">
        <v>265.82</v>
      </c>
      <c r="AH27" s="1423">
        <f t="shared" si="12"/>
        <v>0</v>
      </c>
      <c r="AI27" s="1434"/>
    </row>
    <row r="28" spans="1:35" s="1231" customFormat="1" ht="13.8">
      <c r="A28" s="2142"/>
      <c r="B28" s="1569" t="s">
        <v>2770</v>
      </c>
      <c r="C28" s="1570" t="s">
        <v>3514</v>
      </c>
      <c r="D28" s="1571"/>
      <c r="E28" s="1266"/>
      <c r="F28" s="1267"/>
      <c r="G28" s="1487"/>
      <c r="H28" s="1267"/>
      <c r="I28" s="1485">
        <f t="shared" si="0"/>
        <v>0</v>
      </c>
      <c r="J28" s="1485">
        <f t="shared" si="1"/>
        <v>0</v>
      </c>
      <c r="K28" s="1485"/>
      <c r="L28" s="1485">
        <f t="shared" si="2"/>
        <v>0</v>
      </c>
      <c r="M28" s="1485"/>
      <c r="N28" s="1485">
        <f t="shared" si="3"/>
        <v>0</v>
      </c>
      <c r="O28" s="1485">
        <f t="shared" si="4"/>
        <v>0</v>
      </c>
      <c r="P28" s="1485">
        <f t="shared" si="5"/>
        <v>0</v>
      </c>
      <c r="Q28" s="1485">
        <f t="shared" si="6"/>
        <v>0</v>
      </c>
      <c r="R28" s="1597">
        <f t="shared" si="13"/>
        <v>0</v>
      </c>
      <c r="S28" s="1233"/>
      <c r="T28" s="1232"/>
      <c r="U28" s="1479"/>
      <c r="V28" s="1232">
        <f t="shared" si="14"/>
        <v>0</v>
      </c>
      <c r="W28" s="1233"/>
      <c r="X28" s="1366"/>
      <c r="Y28" s="1426" t="str">
        <f t="shared" si="7"/>
        <v/>
      </c>
      <c r="Z28" s="1427"/>
      <c r="AA28" s="1234">
        <f t="shared" si="15"/>
        <v>0</v>
      </c>
      <c r="AB28" s="1428" t="str">
        <f t="shared" si="8"/>
        <v/>
      </c>
      <c r="AC28" s="1423">
        <f t="shared" si="9"/>
        <v>0</v>
      </c>
      <c r="AD28" s="1423">
        <f t="shared" si="10"/>
        <v>0</v>
      </c>
      <c r="AE28" s="1230"/>
      <c r="AF28" s="1230">
        <f t="shared" si="11"/>
        <v>0</v>
      </c>
      <c r="AG28" s="1230"/>
      <c r="AH28" s="1423">
        <f t="shared" si="12"/>
        <v>0</v>
      </c>
      <c r="AI28" s="1349"/>
    </row>
    <row r="29" spans="1:35" s="1417" customFormat="1" ht="13.8">
      <c r="A29" s="2141"/>
      <c r="B29" s="1268" t="s">
        <v>2771</v>
      </c>
      <c r="C29" s="1241" t="s">
        <v>3515</v>
      </c>
      <c r="D29" s="1245" t="s">
        <v>38</v>
      </c>
      <c r="E29" s="1418">
        <v>69.25</v>
      </c>
      <c r="F29" s="1575">
        <v>24.06</v>
      </c>
      <c r="G29" s="1487">
        <v>24.82</v>
      </c>
      <c r="H29" s="1419">
        <v>25.22</v>
      </c>
      <c r="I29" s="1485">
        <f t="shared" si="0"/>
        <v>1666.16</v>
      </c>
      <c r="J29" s="1485">
        <f t="shared" si="1"/>
        <v>1718.79</v>
      </c>
      <c r="K29" s="1485">
        <v>0</v>
      </c>
      <c r="L29" s="1485">
        <f t="shared" si="2"/>
        <v>0</v>
      </c>
      <c r="M29" s="1485">
        <v>69.25</v>
      </c>
      <c r="N29" s="1485">
        <f t="shared" si="3"/>
        <v>69.25</v>
      </c>
      <c r="O29" s="1485">
        <f t="shared" si="4"/>
        <v>0</v>
      </c>
      <c r="P29" s="1485">
        <f t="shared" si="5"/>
        <v>1718.79</v>
      </c>
      <c r="Q29" s="1485">
        <f t="shared" si="6"/>
        <v>1746.49</v>
      </c>
      <c r="R29" s="1597">
        <f t="shared" si="13"/>
        <v>1746.49</v>
      </c>
      <c r="S29" s="1425">
        <v>40</v>
      </c>
      <c r="T29" s="1232">
        <v>1008.8</v>
      </c>
      <c r="U29" s="1479">
        <f>+[34]Hoja13!$O$23</f>
        <v>29.25</v>
      </c>
      <c r="V29" s="1232">
        <f t="shared" si="14"/>
        <v>737.68499999999995</v>
      </c>
      <c r="W29" s="1425">
        <f>S29+U29</f>
        <v>69.25</v>
      </c>
      <c r="X29" s="1366">
        <f t="shared" si="17"/>
        <v>1746.4849999999999</v>
      </c>
      <c r="Y29" s="1426">
        <f t="shared" si="7"/>
        <v>0.99999713711501348</v>
      </c>
      <c r="Z29" s="1427">
        <f>+E29-W29</f>
        <v>0</v>
      </c>
      <c r="AA29" s="1234">
        <f t="shared" si="15"/>
        <v>0</v>
      </c>
      <c r="AB29" s="1428">
        <f t="shared" si="8"/>
        <v>0</v>
      </c>
      <c r="AC29" s="1423">
        <f t="shared" si="9"/>
        <v>5.0000000001091394E-3</v>
      </c>
      <c r="AD29" s="1423">
        <f t="shared" si="10"/>
        <v>0</v>
      </c>
      <c r="AE29" s="1423">
        <v>1746.4849999999999</v>
      </c>
      <c r="AF29" s="1423">
        <f t="shared" si="11"/>
        <v>-5.0000000001091394E-3</v>
      </c>
      <c r="AG29" s="1423">
        <v>25.22</v>
      </c>
      <c r="AH29" s="1423">
        <f t="shared" si="12"/>
        <v>0</v>
      </c>
      <c r="AI29" s="1434"/>
    </row>
    <row r="30" spans="1:35" s="1231" customFormat="1" ht="13.8">
      <c r="A30" s="2142"/>
      <c r="B30" s="1562" t="s">
        <v>2772</v>
      </c>
      <c r="C30" s="1563" t="s">
        <v>3516</v>
      </c>
      <c r="D30" s="1564"/>
      <c r="E30" s="1266"/>
      <c r="F30" s="1267"/>
      <c r="G30" s="1487"/>
      <c r="H30" s="1267"/>
      <c r="I30" s="1485">
        <f t="shared" si="0"/>
        <v>0</v>
      </c>
      <c r="J30" s="1485">
        <f t="shared" si="1"/>
        <v>0</v>
      </c>
      <c r="K30" s="1485"/>
      <c r="L30" s="1485">
        <f t="shared" si="2"/>
        <v>0</v>
      </c>
      <c r="M30" s="1485"/>
      <c r="N30" s="1485">
        <f t="shared" si="3"/>
        <v>0</v>
      </c>
      <c r="O30" s="1485">
        <f t="shared" si="4"/>
        <v>0</v>
      </c>
      <c r="P30" s="1485">
        <f t="shared" si="5"/>
        <v>0</v>
      </c>
      <c r="Q30" s="1485">
        <f t="shared" si="6"/>
        <v>0</v>
      </c>
      <c r="R30" s="1597">
        <f t="shared" si="13"/>
        <v>0</v>
      </c>
      <c r="S30" s="1233"/>
      <c r="T30" s="1232"/>
      <c r="U30" s="1479"/>
      <c r="V30" s="1232">
        <f t="shared" si="14"/>
        <v>0</v>
      </c>
      <c r="W30" s="1233"/>
      <c r="X30" s="1366"/>
      <c r="Y30" s="1426" t="str">
        <f t="shared" si="7"/>
        <v/>
      </c>
      <c r="Z30" s="1427"/>
      <c r="AA30" s="1234">
        <f t="shared" si="15"/>
        <v>0</v>
      </c>
      <c r="AB30" s="1428" t="str">
        <f t="shared" si="8"/>
        <v/>
      </c>
      <c r="AC30" s="1423">
        <f t="shared" si="9"/>
        <v>0</v>
      </c>
      <c r="AD30" s="1423">
        <f t="shared" si="10"/>
        <v>0</v>
      </c>
      <c r="AE30" s="1230"/>
      <c r="AF30" s="1230">
        <f t="shared" si="11"/>
        <v>0</v>
      </c>
      <c r="AG30" s="1230"/>
      <c r="AH30" s="1423">
        <f t="shared" si="12"/>
        <v>0</v>
      </c>
      <c r="AI30" s="1349"/>
    </row>
    <row r="31" spans="1:35" s="1417" customFormat="1" ht="13.8">
      <c r="A31" s="2141"/>
      <c r="B31" s="1268" t="s">
        <v>2773</v>
      </c>
      <c r="C31" s="1241" t="s">
        <v>3517</v>
      </c>
      <c r="D31" s="1245" t="s">
        <v>38</v>
      </c>
      <c r="E31" s="1418">
        <v>547.80999999999995</v>
      </c>
      <c r="F31" s="1575">
        <v>6.03</v>
      </c>
      <c r="G31" s="1487">
        <v>6.34</v>
      </c>
      <c r="H31" s="1419">
        <v>6.52</v>
      </c>
      <c r="I31" s="1485">
        <f t="shared" si="0"/>
        <v>3303.29</v>
      </c>
      <c r="J31" s="1485">
        <f t="shared" si="1"/>
        <v>3473.12</v>
      </c>
      <c r="K31" s="1485">
        <v>0</v>
      </c>
      <c r="L31" s="1485">
        <f t="shared" si="2"/>
        <v>0</v>
      </c>
      <c r="M31" s="1485">
        <v>547.80999999999995</v>
      </c>
      <c r="N31" s="1485">
        <f t="shared" si="3"/>
        <v>547.80999999999995</v>
      </c>
      <c r="O31" s="1485">
        <f t="shared" si="4"/>
        <v>0</v>
      </c>
      <c r="P31" s="1485">
        <f t="shared" si="5"/>
        <v>3473.12</v>
      </c>
      <c r="Q31" s="1485">
        <f t="shared" si="6"/>
        <v>3571.72</v>
      </c>
      <c r="R31" s="1597">
        <f t="shared" si="13"/>
        <v>3571.72</v>
      </c>
      <c r="S31" s="1425">
        <v>295</v>
      </c>
      <c r="T31" s="1232">
        <v>1923.3999999999999</v>
      </c>
      <c r="U31" s="1479">
        <f>+[34]Hoja13!$O$25</f>
        <v>230</v>
      </c>
      <c r="V31" s="1232">
        <f t="shared" si="14"/>
        <v>1499.6</v>
      </c>
      <c r="W31" s="1425">
        <f>S31+U31</f>
        <v>525</v>
      </c>
      <c r="X31" s="1366">
        <f t="shared" si="17"/>
        <v>3423</v>
      </c>
      <c r="Y31" s="1426">
        <f t="shared" si="7"/>
        <v>0.95836179767730956</v>
      </c>
      <c r="Z31" s="1427">
        <f>+E31-W31</f>
        <v>22.809999999999945</v>
      </c>
      <c r="AA31" s="1234">
        <f t="shared" si="15"/>
        <v>148.72119999999964</v>
      </c>
      <c r="AB31" s="1428">
        <f t="shared" si="8"/>
        <v>4.1638538295275009E-2</v>
      </c>
      <c r="AC31" s="1423">
        <f t="shared" si="9"/>
        <v>-1.1999999998408839E-3</v>
      </c>
      <c r="AD31" s="1423">
        <f t="shared" si="10"/>
        <v>0</v>
      </c>
      <c r="AE31" s="1423">
        <v>3571.7211999999995</v>
      </c>
      <c r="AF31" s="1423">
        <f t="shared" si="11"/>
        <v>1.1999999996987754E-3</v>
      </c>
      <c r="AG31" s="1423">
        <v>6.52</v>
      </c>
      <c r="AH31" s="1423">
        <f t="shared" si="12"/>
        <v>0</v>
      </c>
      <c r="AI31" s="1434"/>
    </row>
    <row r="32" spans="1:35" s="1417" customFormat="1" ht="13.8">
      <c r="A32" s="2141"/>
      <c r="B32" s="1268" t="s">
        <v>2774</v>
      </c>
      <c r="C32" s="1241" t="s">
        <v>3518</v>
      </c>
      <c r="D32" s="1245" t="s">
        <v>38</v>
      </c>
      <c r="E32" s="1418">
        <v>60.34</v>
      </c>
      <c r="F32" s="1575">
        <v>7</v>
      </c>
      <c r="G32" s="1487">
        <v>7.31</v>
      </c>
      <c r="H32" s="1419">
        <v>7.49</v>
      </c>
      <c r="I32" s="1485">
        <f t="shared" si="0"/>
        <v>422.38</v>
      </c>
      <c r="J32" s="1485">
        <f t="shared" si="1"/>
        <v>441.09</v>
      </c>
      <c r="K32" s="1485">
        <v>0</v>
      </c>
      <c r="L32" s="1485">
        <f t="shared" si="2"/>
        <v>0</v>
      </c>
      <c r="M32" s="1485">
        <v>60.34</v>
      </c>
      <c r="N32" s="1485">
        <f t="shared" si="3"/>
        <v>60.34</v>
      </c>
      <c r="O32" s="1485">
        <f t="shared" si="4"/>
        <v>0</v>
      </c>
      <c r="P32" s="1485">
        <f t="shared" si="5"/>
        <v>441.09</v>
      </c>
      <c r="Q32" s="1485">
        <f t="shared" si="6"/>
        <v>451.95</v>
      </c>
      <c r="R32" s="1597">
        <f t="shared" si="13"/>
        <v>451.95</v>
      </c>
      <c r="S32" s="1425">
        <v>55</v>
      </c>
      <c r="T32" s="1232">
        <v>411.95</v>
      </c>
      <c r="U32" s="1479">
        <f>+[34]Hoja13!$O$26</f>
        <v>5.34</v>
      </c>
      <c r="V32" s="1232">
        <f t="shared" si="14"/>
        <v>39.996600000000001</v>
      </c>
      <c r="W32" s="1425">
        <f>S32+U32</f>
        <v>60.34</v>
      </c>
      <c r="X32" s="1366">
        <f t="shared" si="17"/>
        <v>451.94659999999999</v>
      </c>
      <c r="Y32" s="1426">
        <f t="shared" si="7"/>
        <v>0.9999924770439208</v>
      </c>
      <c r="Z32" s="1427">
        <f>+E32-W32</f>
        <v>0</v>
      </c>
      <c r="AA32" s="1234">
        <f t="shared" si="15"/>
        <v>0</v>
      </c>
      <c r="AB32" s="1428">
        <f t="shared" si="8"/>
        <v>0</v>
      </c>
      <c r="AC32" s="1423">
        <f t="shared" si="9"/>
        <v>3.3999999999991815E-3</v>
      </c>
      <c r="AD32" s="1423">
        <f t="shared" si="10"/>
        <v>0</v>
      </c>
      <c r="AE32" s="1423">
        <v>451.94660000000005</v>
      </c>
      <c r="AF32" s="1423">
        <f t="shared" si="11"/>
        <v>-3.399999999942338E-3</v>
      </c>
      <c r="AG32" s="1423">
        <v>7.49</v>
      </c>
      <c r="AH32" s="1423">
        <f t="shared" si="12"/>
        <v>0</v>
      </c>
      <c r="AI32" s="1434"/>
    </row>
    <row r="33" spans="1:35" s="1417" customFormat="1" ht="13.8">
      <c r="A33" s="2141"/>
      <c r="B33" s="1268" t="s">
        <v>2775</v>
      </c>
      <c r="C33" s="1241" t="s">
        <v>3519</v>
      </c>
      <c r="D33" s="1245" t="s">
        <v>38</v>
      </c>
      <c r="E33" s="1418">
        <v>95.83</v>
      </c>
      <c r="F33" s="1575">
        <v>9.8800000000000008</v>
      </c>
      <c r="G33" s="1487">
        <v>10.19</v>
      </c>
      <c r="H33" s="1419">
        <v>10.37</v>
      </c>
      <c r="I33" s="1485">
        <f t="shared" si="0"/>
        <v>946.8</v>
      </c>
      <c r="J33" s="1485">
        <f t="shared" si="1"/>
        <v>976.51</v>
      </c>
      <c r="K33" s="1485">
        <v>0</v>
      </c>
      <c r="L33" s="1485">
        <f t="shared" si="2"/>
        <v>0</v>
      </c>
      <c r="M33" s="1485">
        <v>95.83</v>
      </c>
      <c r="N33" s="1485">
        <f t="shared" si="3"/>
        <v>95.83</v>
      </c>
      <c r="O33" s="1485">
        <f t="shared" si="4"/>
        <v>0</v>
      </c>
      <c r="P33" s="1485">
        <f t="shared" si="5"/>
        <v>976.51</v>
      </c>
      <c r="Q33" s="1485">
        <f t="shared" si="6"/>
        <v>993.76</v>
      </c>
      <c r="R33" s="1597">
        <f t="shared" si="13"/>
        <v>993.76</v>
      </c>
      <c r="S33" s="1425">
        <v>85</v>
      </c>
      <c r="T33" s="1232">
        <v>881.44999999999993</v>
      </c>
      <c r="U33" s="1479">
        <f>+[34]Hoja13!$O$27</f>
        <v>10.829999999999998</v>
      </c>
      <c r="V33" s="1232">
        <f t="shared" si="14"/>
        <v>112.30709999999998</v>
      </c>
      <c r="W33" s="1425">
        <f>S33+U33</f>
        <v>95.83</v>
      </c>
      <c r="X33" s="1366">
        <f t="shared" si="17"/>
        <v>993.75709999999992</v>
      </c>
      <c r="Y33" s="1426">
        <f t="shared" si="7"/>
        <v>0.99999708179037183</v>
      </c>
      <c r="Z33" s="1427">
        <f>+E33-W33</f>
        <v>0</v>
      </c>
      <c r="AA33" s="1234">
        <f t="shared" si="15"/>
        <v>0</v>
      </c>
      <c r="AB33" s="1428">
        <f t="shared" si="8"/>
        <v>0</v>
      </c>
      <c r="AC33" s="1423">
        <f t="shared" si="9"/>
        <v>2.9000000000678483E-3</v>
      </c>
      <c r="AD33" s="1423">
        <f t="shared" si="10"/>
        <v>0</v>
      </c>
      <c r="AE33" s="1423">
        <v>993.75709999999992</v>
      </c>
      <c r="AF33" s="1423">
        <f t="shared" si="11"/>
        <v>-2.9000000000678483E-3</v>
      </c>
      <c r="AG33" s="1423">
        <v>10.37</v>
      </c>
      <c r="AH33" s="1423">
        <f t="shared" si="12"/>
        <v>0</v>
      </c>
      <c r="AI33" s="1434"/>
    </row>
    <row r="34" spans="1:35" s="1417" customFormat="1" ht="13.8">
      <c r="A34" s="2141"/>
      <c r="B34" s="1272" t="s">
        <v>1930</v>
      </c>
      <c r="C34" s="1262" t="s">
        <v>3520</v>
      </c>
      <c r="D34" s="1273"/>
      <c r="E34" s="1420"/>
      <c r="F34" s="1267"/>
      <c r="G34" s="1487"/>
      <c r="H34" s="1421"/>
      <c r="I34" s="1485">
        <f t="shared" si="0"/>
        <v>0</v>
      </c>
      <c r="J34" s="1485">
        <f t="shared" si="1"/>
        <v>0</v>
      </c>
      <c r="K34" s="1485"/>
      <c r="L34" s="1485">
        <f t="shared" si="2"/>
        <v>0</v>
      </c>
      <c r="M34" s="1485"/>
      <c r="N34" s="1485">
        <f t="shared" si="3"/>
        <v>0</v>
      </c>
      <c r="O34" s="1485">
        <f t="shared" si="4"/>
        <v>0</v>
      </c>
      <c r="P34" s="1485">
        <f t="shared" si="5"/>
        <v>0</v>
      </c>
      <c r="Q34" s="1485">
        <f t="shared" si="6"/>
        <v>0</v>
      </c>
      <c r="R34" s="1597">
        <f t="shared" si="13"/>
        <v>0</v>
      </c>
      <c r="S34" s="1425"/>
      <c r="T34" s="1232"/>
      <c r="U34" s="1479"/>
      <c r="V34" s="1232">
        <f t="shared" si="14"/>
        <v>0</v>
      </c>
      <c r="W34" s="1425"/>
      <c r="X34" s="1366"/>
      <c r="Y34" s="1426" t="str">
        <f t="shared" si="7"/>
        <v/>
      </c>
      <c r="Z34" s="1427"/>
      <c r="AA34" s="1234">
        <f t="shared" si="15"/>
        <v>0</v>
      </c>
      <c r="AB34" s="1428" t="str">
        <f t="shared" si="8"/>
        <v/>
      </c>
      <c r="AC34" s="1423">
        <f t="shared" si="9"/>
        <v>0</v>
      </c>
      <c r="AD34" s="1423">
        <f t="shared" si="10"/>
        <v>0</v>
      </c>
      <c r="AE34" s="1423"/>
      <c r="AF34" s="1423">
        <f t="shared" si="11"/>
        <v>0</v>
      </c>
      <c r="AG34" s="1423"/>
      <c r="AH34" s="1423">
        <f t="shared" si="12"/>
        <v>0</v>
      </c>
      <c r="AI34" s="1434"/>
    </row>
    <row r="35" spans="1:35" s="1417" customFormat="1" ht="13.8">
      <c r="A35" s="2141"/>
      <c r="B35" s="1268" t="s">
        <v>2776</v>
      </c>
      <c r="C35" s="1241" t="s">
        <v>3521</v>
      </c>
      <c r="D35" s="1245" t="s">
        <v>38</v>
      </c>
      <c r="E35" s="1418">
        <v>84.4</v>
      </c>
      <c r="F35" s="1575">
        <v>6.26</v>
      </c>
      <c r="G35" s="1487">
        <v>6.72</v>
      </c>
      <c r="H35" s="1419">
        <v>6.96</v>
      </c>
      <c r="I35" s="1485">
        <f t="shared" si="0"/>
        <v>528.34</v>
      </c>
      <c r="J35" s="1485">
        <f t="shared" si="1"/>
        <v>567.16999999999996</v>
      </c>
      <c r="K35" s="1485">
        <v>0</v>
      </c>
      <c r="L35" s="1485">
        <f t="shared" si="2"/>
        <v>0</v>
      </c>
      <c r="M35" s="1485">
        <v>84.4</v>
      </c>
      <c r="N35" s="1485">
        <f t="shared" si="3"/>
        <v>84.4</v>
      </c>
      <c r="O35" s="1485">
        <f t="shared" si="4"/>
        <v>0</v>
      </c>
      <c r="P35" s="1485">
        <f t="shared" si="5"/>
        <v>567.16999999999996</v>
      </c>
      <c r="Q35" s="1485">
        <f t="shared" si="6"/>
        <v>587.41999999999996</v>
      </c>
      <c r="R35" s="1597">
        <f t="shared" si="13"/>
        <v>587.41999999999996</v>
      </c>
      <c r="S35" s="1425">
        <v>0</v>
      </c>
      <c r="T35" s="1232">
        <v>0</v>
      </c>
      <c r="U35" s="1479"/>
      <c r="V35" s="1232">
        <f t="shared" si="14"/>
        <v>0</v>
      </c>
      <c r="W35" s="1425">
        <f>S35+U35</f>
        <v>0</v>
      </c>
      <c r="X35" s="1366">
        <f t="shared" si="17"/>
        <v>0</v>
      </c>
      <c r="Y35" s="1426">
        <f t="shared" si="7"/>
        <v>0</v>
      </c>
      <c r="Z35" s="1427">
        <f>+E35-W35</f>
        <v>84.4</v>
      </c>
      <c r="AA35" s="1234">
        <f t="shared" si="15"/>
        <v>587.42400000000009</v>
      </c>
      <c r="AB35" s="1428">
        <f t="shared" si="8"/>
        <v>1.0000068094378811</v>
      </c>
      <c r="AC35" s="1423">
        <f t="shared" si="9"/>
        <v>-4.0000000001327862E-3</v>
      </c>
      <c r="AD35" s="1423">
        <f t="shared" si="10"/>
        <v>0</v>
      </c>
      <c r="AE35" s="1423">
        <v>587.42400000000009</v>
      </c>
      <c r="AF35" s="1423">
        <f t="shared" si="11"/>
        <v>4.0000000001327862E-3</v>
      </c>
      <c r="AG35" s="1423">
        <v>6.96</v>
      </c>
      <c r="AH35" s="1423">
        <f t="shared" si="12"/>
        <v>0</v>
      </c>
      <c r="AI35" s="1434"/>
    </row>
    <row r="36" spans="1:35" s="1417" customFormat="1" ht="13.8">
      <c r="A36" s="2141"/>
      <c r="B36" s="1268" t="s">
        <v>2777</v>
      </c>
      <c r="C36" s="1241" t="s">
        <v>3522</v>
      </c>
      <c r="D36" s="1245" t="s">
        <v>38</v>
      </c>
      <c r="E36" s="1418">
        <v>282.2</v>
      </c>
      <c r="F36" s="1575">
        <v>11.56</v>
      </c>
      <c r="G36" s="1487">
        <v>12.02</v>
      </c>
      <c r="H36" s="1419">
        <v>12.26</v>
      </c>
      <c r="I36" s="1485">
        <f t="shared" si="0"/>
        <v>3262.23</v>
      </c>
      <c r="J36" s="1485">
        <f t="shared" si="1"/>
        <v>3392.04</v>
      </c>
      <c r="K36" s="1485">
        <v>0</v>
      </c>
      <c r="L36" s="1485">
        <f t="shared" si="2"/>
        <v>0</v>
      </c>
      <c r="M36" s="1485">
        <v>282.2</v>
      </c>
      <c r="N36" s="1485">
        <f t="shared" si="3"/>
        <v>282.2</v>
      </c>
      <c r="O36" s="1485">
        <f t="shared" si="4"/>
        <v>0</v>
      </c>
      <c r="P36" s="1485">
        <f t="shared" si="5"/>
        <v>3392.04</v>
      </c>
      <c r="Q36" s="1485">
        <f t="shared" si="6"/>
        <v>3459.77</v>
      </c>
      <c r="R36" s="1597">
        <f t="shared" si="13"/>
        <v>3459.77</v>
      </c>
      <c r="S36" s="1425">
        <v>0</v>
      </c>
      <c r="T36" s="1232">
        <v>0</v>
      </c>
      <c r="U36" s="1479"/>
      <c r="V36" s="1232">
        <f t="shared" si="14"/>
        <v>0</v>
      </c>
      <c r="W36" s="1425">
        <f>S36+U36</f>
        <v>0</v>
      </c>
      <c r="X36" s="1366">
        <f t="shared" si="17"/>
        <v>0</v>
      </c>
      <c r="Y36" s="1426">
        <f t="shared" si="7"/>
        <v>0</v>
      </c>
      <c r="Z36" s="1427">
        <f>+E36-W36</f>
        <v>282.2</v>
      </c>
      <c r="AA36" s="1234">
        <f t="shared" si="15"/>
        <v>3459.7719999999999</v>
      </c>
      <c r="AB36" s="1428">
        <f t="shared" si="8"/>
        <v>1.0000005780731089</v>
      </c>
      <c r="AC36" s="1423">
        <f t="shared" si="9"/>
        <v>-1.9999999999527063E-3</v>
      </c>
      <c r="AD36" s="1423">
        <f t="shared" si="10"/>
        <v>0</v>
      </c>
      <c r="AE36" s="1423">
        <v>3459.7719999999999</v>
      </c>
      <c r="AF36" s="1423">
        <f t="shared" si="11"/>
        <v>1.9999999999527063E-3</v>
      </c>
      <c r="AG36" s="1423">
        <v>12.26</v>
      </c>
      <c r="AH36" s="1423">
        <f t="shared" si="12"/>
        <v>0</v>
      </c>
      <c r="AI36" s="1434"/>
    </row>
    <row r="37" spans="1:35" s="1417" customFormat="1" ht="13.8">
      <c r="A37" s="2141"/>
      <c r="B37" s="1268" t="s">
        <v>2778</v>
      </c>
      <c r="C37" s="1241" t="s">
        <v>3523</v>
      </c>
      <c r="D37" s="1245" t="s">
        <v>38</v>
      </c>
      <c r="E37" s="1418">
        <v>123.53</v>
      </c>
      <c r="F37" s="1575">
        <v>12.38</v>
      </c>
      <c r="G37" s="1487">
        <v>12.84</v>
      </c>
      <c r="H37" s="1419">
        <v>13.08</v>
      </c>
      <c r="I37" s="1485">
        <f t="shared" si="0"/>
        <v>1529.3</v>
      </c>
      <c r="J37" s="1485">
        <f t="shared" si="1"/>
        <v>1586.13</v>
      </c>
      <c r="K37" s="1485">
        <v>0</v>
      </c>
      <c r="L37" s="1485">
        <f t="shared" si="2"/>
        <v>0</v>
      </c>
      <c r="M37" s="1485">
        <v>123.53</v>
      </c>
      <c r="N37" s="1485">
        <f t="shared" si="3"/>
        <v>123.53</v>
      </c>
      <c r="O37" s="1485">
        <f t="shared" si="4"/>
        <v>0</v>
      </c>
      <c r="P37" s="1485">
        <f t="shared" si="5"/>
        <v>1586.13</v>
      </c>
      <c r="Q37" s="1485">
        <f t="shared" si="6"/>
        <v>1615.77</v>
      </c>
      <c r="R37" s="1597">
        <f t="shared" si="13"/>
        <v>1615.77</v>
      </c>
      <c r="S37" s="1425">
        <v>0</v>
      </c>
      <c r="T37" s="1232">
        <v>0</v>
      </c>
      <c r="U37" s="1479"/>
      <c r="V37" s="1232">
        <f t="shared" si="14"/>
        <v>0</v>
      </c>
      <c r="W37" s="1425">
        <f>S37+U37</f>
        <v>0</v>
      </c>
      <c r="X37" s="1366">
        <f t="shared" si="17"/>
        <v>0</v>
      </c>
      <c r="Y37" s="1426">
        <f t="shared" si="7"/>
        <v>0</v>
      </c>
      <c r="Z37" s="1427">
        <f>+E37-W37</f>
        <v>123.53</v>
      </c>
      <c r="AA37" s="1234">
        <f t="shared" si="15"/>
        <v>1615.7724000000001</v>
      </c>
      <c r="AB37" s="1428">
        <f t="shared" si="8"/>
        <v>1.0000014853599213</v>
      </c>
      <c r="AC37" s="1423">
        <f t="shared" si="9"/>
        <v>-2.4000000000796717E-3</v>
      </c>
      <c r="AD37" s="1423">
        <f t="shared" si="10"/>
        <v>0</v>
      </c>
      <c r="AE37" s="1423">
        <v>1615.7724000000001</v>
      </c>
      <c r="AF37" s="1423">
        <f t="shared" si="11"/>
        <v>2.4000000000796717E-3</v>
      </c>
      <c r="AG37" s="1423">
        <v>13.08</v>
      </c>
      <c r="AH37" s="1423">
        <f t="shared" si="12"/>
        <v>0</v>
      </c>
      <c r="AI37" s="1434"/>
    </row>
    <row r="38" spans="1:35" s="1417" customFormat="1" ht="13.8">
      <c r="A38" s="2141"/>
      <c r="B38" s="1268" t="s">
        <v>2779</v>
      </c>
      <c r="C38" s="1241" t="s">
        <v>3524</v>
      </c>
      <c r="D38" s="1245" t="s">
        <v>38</v>
      </c>
      <c r="E38" s="1418">
        <v>472.23</v>
      </c>
      <c r="F38" s="1575">
        <v>6.97</v>
      </c>
      <c r="G38" s="1487">
        <v>7.43</v>
      </c>
      <c r="H38" s="1419">
        <v>7.67</v>
      </c>
      <c r="I38" s="1485">
        <f t="shared" si="0"/>
        <v>3291.44</v>
      </c>
      <c r="J38" s="1485">
        <f t="shared" si="1"/>
        <v>3508.67</v>
      </c>
      <c r="K38" s="1485">
        <v>0</v>
      </c>
      <c r="L38" s="1485">
        <f t="shared" si="2"/>
        <v>0</v>
      </c>
      <c r="M38" s="1485">
        <v>472.23</v>
      </c>
      <c r="N38" s="1485">
        <f t="shared" si="3"/>
        <v>472.23</v>
      </c>
      <c r="O38" s="1485">
        <f t="shared" si="4"/>
        <v>0</v>
      </c>
      <c r="P38" s="1485">
        <f t="shared" si="5"/>
        <v>3508.67</v>
      </c>
      <c r="Q38" s="1485">
        <f t="shared" si="6"/>
        <v>3622</v>
      </c>
      <c r="R38" s="1597">
        <f t="shared" si="13"/>
        <v>3622</v>
      </c>
      <c r="S38" s="1425">
        <v>472.23</v>
      </c>
      <c r="T38" s="1232">
        <v>3622.0041000000001</v>
      </c>
      <c r="U38" s="1479"/>
      <c r="V38" s="1232">
        <f t="shared" si="14"/>
        <v>0</v>
      </c>
      <c r="W38" s="1425">
        <f>S38+U38</f>
        <v>472.23</v>
      </c>
      <c r="X38" s="1366">
        <f t="shared" si="17"/>
        <v>3622.0041000000001</v>
      </c>
      <c r="Y38" s="1426">
        <f t="shared" si="7"/>
        <v>1.0000011319712867</v>
      </c>
      <c r="Z38" s="1427">
        <f>+E38-W38</f>
        <v>0</v>
      </c>
      <c r="AA38" s="1234">
        <f t="shared" si="15"/>
        <v>0</v>
      </c>
      <c r="AB38" s="1428">
        <f t="shared" si="8"/>
        <v>0</v>
      </c>
      <c r="AC38" s="1423">
        <f t="shared" si="9"/>
        <v>-4.1000000001076842E-3</v>
      </c>
      <c r="AD38" s="1423">
        <f t="shared" si="10"/>
        <v>0</v>
      </c>
      <c r="AE38" s="1423">
        <v>3622.0041000000001</v>
      </c>
      <c r="AF38" s="1423">
        <f t="shared" si="11"/>
        <v>4.1000000001076842E-3</v>
      </c>
      <c r="AG38" s="1423">
        <v>7.67</v>
      </c>
      <c r="AH38" s="1423">
        <f t="shared" si="12"/>
        <v>0</v>
      </c>
      <c r="AI38" s="1434"/>
    </row>
    <row r="39" spans="1:35" s="1417" customFormat="1" ht="13.8">
      <c r="A39" s="2141"/>
      <c r="B39" s="1268" t="s">
        <v>2780</v>
      </c>
      <c r="C39" s="1241" t="s">
        <v>3525</v>
      </c>
      <c r="D39" s="1245" t="s">
        <v>38</v>
      </c>
      <c r="E39" s="1418">
        <v>255.47</v>
      </c>
      <c r="F39" s="1575">
        <v>6.76</v>
      </c>
      <c r="G39" s="1487">
        <v>7.22</v>
      </c>
      <c r="H39" s="1419">
        <v>7.46</v>
      </c>
      <c r="I39" s="1485">
        <f t="shared" si="0"/>
        <v>1726.98</v>
      </c>
      <c r="J39" s="1485">
        <f t="shared" si="1"/>
        <v>1844.49</v>
      </c>
      <c r="K39" s="1485">
        <v>0</v>
      </c>
      <c r="L39" s="1485">
        <f t="shared" si="2"/>
        <v>0</v>
      </c>
      <c r="M39" s="1485">
        <v>255.47</v>
      </c>
      <c r="N39" s="1485">
        <f t="shared" si="3"/>
        <v>255.47</v>
      </c>
      <c r="O39" s="1485">
        <f t="shared" si="4"/>
        <v>0</v>
      </c>
      <c r="P39" s="1485">
        <f t="shared" si="5"/>
        <v>1844.49</v>
      </c>
      <c r="Q39" s="1485">
        <f t="shared" si="6"/>
        <v>1905.81</v>
      </c>
      <c r="R39" s="1597">
        <f t="shared" si="13"/>
        <v>1905.81</v>
      </c>
      <c r="S39" s="1425">
        <v>100</v>
      </c>
      <c r="T39" s="1232">
        <v>746</v>
      </c>
      <c r="U39" s="1479">
        <f>+[34]Hoja13!$O$33</f>
        <v>155.47</v>
      </c>
      <c r="V39" s="1232">
        <f t="shared" si="14"/>
        <v>1159.8062</v>
      </c>
      <c r="W39" s="1425">
        <f>S39+U39</f>
        <v>255.47</v>
      </c>
      <c r="X39" s="1366">
        <f t="shared" si="17"/>
        <v>1905.8062</v>
      </c>
      <c r="Y39" s="1426">
        <f t="shared" si="7"/>
        <v>0.99999800609714506</v>
      </c>
      <c r="Z39" s="1427">
        <f>+E39-W39</f>
        <v>0</v>
      </c>
      <c r="AA39" s="1234">
        <f t="shared" si="15"/>
        <v>0</v>
      </c>
      <c r="AB39" s="1428">
        <f t="shared" si="8"/>
        <v>0</v>
      </c>
      <c r="AC39" s="1423">
        <f t="shared" si="9"/>
        <v>3.7999999999556167E-3</v>
      </c>
      <c r="AD39" s="1423">
        <f t="shared" si="10"/>
        <v>0</v>
      </c>
      <c r="AE39" s="1423">
        <v>1905.8062</v>
      </c>
      <c r="AF39" s="1423">
        <f t="shared" si="11"/>
        <v>-3.7999999999556167E-3</v>
      </c>
      <c r="AG39" s="1423">
        <v>7.46</v>
      </c>
      <c r="AH39" s="1423">
        <f t="shared" si="12"/>
        <v>0</v>
      </c>
      <c r="AI39" s="1434"/>
    </row>
    <row r="40" spans="1:35" s="1417" customFormat="1" ht="13.8">
      <c r="A40" s="2141"/>
      <c r="B40" s="1272" t="s">
        <v>1932</v>
      </c>
      <c r="C40" s="1262" t="s">
        <v>3526</v>
      </c>
      <c r="D40" s="1273"/>
      <c r="E40" s="1420"/>
      <c r="F40" s="1267"/>
      <c r="G40" s="1487"/>
      <c r="H40" s="1421"/>
      <c r="I40" s="1485">
        <f t="shared" si="0"/>
        <v>0</v>
      </c>
      <c r="J40" s="1485">
        <f t="shared" si="1"/>
        <v>0</v>
      </c>
      <c r="K40" s="1485"/>
      <c r="L40" s="1485">
        <f t="shared" si="2"/>
        <v>0</v>
      </c>
      <c r="M40" s="1485"/>
      <c r="N40" s="1485">
        <f t="shared" si="3"/>
        <v>0</v>
      </c>
      <c r="O40" s="1485">
        <f t="shared" si="4"/>
        <v>0</v>
      </c>
      <c r="P40" s="1485">
        <f t="shared" si="5"/>
        <v>0</v>
      </c>
      <c r="Q40" s="1485">
        <f t="shared" si="6"/>
        <v>0</v>
      </c>
      <c r="R40" s="1597">
        <f t="shared" si="13"/>
        <v>0</v>
      </c>
      <c r="S40" s="1425"/>
      <c r="T40" s="1232"/>
      <c r="U40" s="1479"/>
      <c r="V40" s="1232">
        <f t="shared" si="14"/>
        <v>0</v>
      </c>
      <c r="W40" s="1425"/>
      <c r="X40" s="1366"/>
      <c r="Y40" s="1426" t="str">
        <f t="shared" si="7"/>
        <v/>
      </c>
      <c r="Z40" s="1427"/>
      <c r="AA40" s="1234">
        <f t="shared" si="15"/>
        <v>0</v>
      </c>
      <c r="AB40" s="1428" t="str">
        <f t="shared" si="8"/>
        <v/>
      </c>
      <c r="AC40" s="1423">
        <f t="shared" si="9"/>
        <v>0</v>
      </c>
      <c r="AD40" s="1423">
        <f t="shared" si="10"/>
        <v>0</v>
      </c>
      <c r="AE40" s="1423"/>
      <c r="AF40" s="1423">
        <f t="shared" si="11"/>
        <v>0</v>
      </c>
      <c r="AG40" s="1423"/>
      <c r="AH40" s="1423">
        <f t="shared" si="12"/>
        <v>0</v>
      </c>
      <c r="AI40" s="1434"/>
    </row>
    <row r="41" spans="1:35" s="1417" customFormat="1" ht="13.8">
      <c r="A41" s="2141"/>
      <c r="B41" s="1268" t="s">
        <v>2781</v>
      </c>
      <c r="C41" s="1241" t="s">
        <v>3527</v>
      </c>
      <c r="D41" s="1245" t="s">
        <v>36</v>
      </c>
      <c r="E41" s="1418">
        <v>15</v>
      </c>
      <c r="F41" s="1575">
        <v>397.6</v>
      </c>
      <c r="G41" s="1487">
        <v>399.12</v>
      </c>
      <c r="H41" s="1419">
        <v>399.93</v>
      </c>
      <c r="I41" s="1485">
        <f t="shared" si="0"/>
        <v>5964</v>
      </c>
      <c r="J41" s="1485">
        <f t="shared" si="1"/>
        <v>5986.8</v>
      </c>
      <c r="K41" s="1485">
        <v>0</v>
      </c>
      <c r="L41" s="1485">
        <f t="shared" si="2"/>
        <v>0</v>
      </c>
      <c r="M41" s="1485">
        <v>15</v>
      </c>
      <c r="N41" s="1485">
        <f t="shared" si="3"/>
        <v>15</v>
      </c>
      <c r="O41" s="1485">
        <f t="shared" si="4"/>
        <v>0</v>
      </c>
      <c r="P41" s="1485">
        <f t="shared" si="5"/>
        <v>5986.8</v>
      </c>
      <c r="Q41" s="1485">
        <f t="shared" si="6"/>
        <v>5998.95</v>
      </c>
      <c r="R41" s="1597">
        <f t="shared" si="13"/>
        <v>5998.95</v>
      </c>
      <c r="S41" s="1425">
        <v>0</v>
      </c>
      <c r="T41" s="1232">
        <v>0</v>
      </c>
      <c r="U41" s="1479"/>
      <c r="V41" s="1232">
        <f t="shared" si="14"/>
        <v>0</v>
      </c>
      <c r="W41" s="1425">
        <f>S41+U41</f>
        <v>0</v>
      </c>
      <c r="X41" s="1366">
        <f t="shared" si="17"/>
        <v>0</v>
      </c>
      <c r="Y41" s="1426">
        <f t="shared" si="7"/>
        <v>0</v>
      </c>
      <c r="Z41" s="1427">
        <f>+E41-W41</f>
        <v>15</v>
      </c>
      <c r="AA41" s="1234">
        <f t="shared" si="15"/>
        <v>5998.95</v>
      </c>
      <c r="AB41" s="1428">
        <f t="shared" si="8"/>
        <v>1</v>
      </c>
      <c r="AC41" s="1423">
        <f t="shared" si="9"/>
        <v>0</v>
      </c>
      <c r="AD41" s="1423">
        <f t="shared" si="10"/>
        <v>0</v>
      </c>
      <c r="AE41" s="1423">
        <v>5998.95</v>
      </c>
      <c r="AF41" s="1423">
        <f t="shared" si="11"/>
        <v>0</v>
      </c>
      <c r="AG41" s="1423">
        <v>399.93</v>
      </c>
      <c r="AH41" s="1423">
        <f t="shared" si="12"/>
        <v>0</v>
      </c>
      <c r="AI41" s="1434"/>
    </row>
    <row r="42" spans="1:35" s="1417" customFormat="1" ht="13.8">
      <c r="A42" s="2141"/>
      <c r="B42" s="1272" t="s">
        <v>1933</v>
      </c>
      <c r="C42" s="1262" t="s">
        <v>3528</v>
      </c>
      <c r="D42" s="1273"/>
      <c r="E42" s="1420"/>
      <c r="F42" s="1267"/>
      <c r="G42" s="1487"/>
      <c r="H42" s="1421"/>
      <c r="I42" s="1485">
        <f t="shared" si="0"/>
        <v>0</v>
      </c>
      <c r="J42" s="1485">
        <f t="shared" si="1"/>
        <v>0</v>
      </c>
      <c r="K42" s="1485"/>
      <c r="L42" s="1485">
        <f t="shared" si="2"/>
        <v>0</v>
      </c>
      <c r="M42" s="1485"/>
      <c r="N42" s="1485">
        <f t="shared" si="3"/>
        <v>0</v>
      </c>
      <c r="O42" s="1485">
        <f t="shared" si="4"/>
        <v>0</v>
      </c>
      <c r="P42" s="1485">
        <f t="shared" si="5"/>
        <v>0</v>
      </c>
      <c r="Q42" s="1485">
        <f t="shared" si="6"/>
        <v>0</v>
      </c>
      <c r="R42" s="1597">
        <f t="shared" si="13"/>
        <v>0</v>
      </c>
      <c r="S42" s="1425"/>
      <c r="T42" s="1232"/>
      <c r="U42" s="1479"/>
      <c r="V42" s="1232">
        <f t="shared" si="14"/>
        <v>0</v>
      </c>
      <c r="W42" s="1425"/>
      <c r="X42" s="1366"/>
      <c r="Y42" s="1426" t="str">
        <f t="shared" si="7"/>
        <v/>
      </c>
      <c r="Z42" s="1427"/>
      <c r="AA42" s="1234">
        <f t="shared" si="15"/>
        <v>0</v>
      </c>
      <c r="AB42" s="1428" t="str">
        <f t="shared" si="8"/>
        <v/>
      </c>
      <c r="AC42" s="1423">
        <f t="shared" si="9"/>
        <v>0</v>
      </c>
      <c r="AD42" s="1423">
        <f t="shared" si="10"/>
        <v>0</v>
      </c>
      <c r="AE42" s="1423"/>
      <c r="AF42" s="1423">
        <f t="shared" si="11"/>
        <v>0</v>
      </c>
      <c r="AG42" s="1423"/>
      <c r="AH42" s="1423">
        <f t="shared" si="12"/>
        <v>0</v>
      </c>
      <c r="AI42" s="1434"/>
    </row>
    <row r="43" spans="1:35" s="1417" customFormat="1" ht="13.8">
      <c r="A43" s="2141"/>
      <c r="B43" s="1268" t="s">
        <v>2782</v>
      </c>
      <c r="C43" s="2335" t="s">
        <v>3529</v>
      </c>
      <c r="D43" s="1245" t="s">
        <v>36</v>
      </c>
      <c r="E43" s="1418">
        <v>15</v>
      </c>
      <c r="F43" s="1575">
        <v>1551.35</v>
      </c>
      <c r="G43" s="1487">
        <v>1555.68</v>
      </c>
      <c r="H43" s="1419">
        <v>1558.12</v>
      </c>
      <c r="I43" s="1485">
        <f t="shared" si="0"/>
        <v>23270.25</v>
      </c>
      <c r="J43" s="1485">
        <f t="shared" si="1"/>
        <v>23335.200000000001</v>
      </c>
      <c r="K43" s="1485">
        <v>0</v>
      </c>
      <c r="L43" s="1485">
        <f t="shared" si="2"/>
        <v>0</v>
      </c>
      <c r="M43" s="1485">
        <v>15</v>
      </c>
      <c r="N43" s="1485">
        <f t="shared" si="3"/>
        <v>15</v>
      </c>
      <c r="O43" s="1485">
        <f t="shared" si="4"/>
        <v>0</v>
      </c>
      <c r="P43" s="1485">
        <f t="shared" si="5"/>
        <v>23335.200000000001</v>
      </c>
      <c r="Q43" s="1485">
        <f t="shared" si="6"/>
        <v>23371.8</v>
      </c>
      <c r="R43" s="1597">
        <f t="shared" si="13"/>
        <v>23371.8</v>
      </c>
      <c r="S43" s="1425">
        <v>0</v>
      </c>
      <c r="T43" s="1232">
        <v>0</v>
      </c>
      <c r="U43" s="2336">
        <f>+[34]Hoja13!$O$37</f>
        <v>15</v>
      </c>
      <c r="V43" s="1232">
        <f t="shared" si="14"/>
        <v>23371.8</v>
      </c>
      <c r="W43" s="1425">
        <f>S43+U43</f>
        <v>15</v>
      </c>
      <c r="X43" s="1366">
        <f t="shared" si="17"/>
        <v>23371.8</v>
      </c>
      <c r="Y43" s="1426">
        <f t="shared" si="7"/>
        <v>1</v>
      </c>
      <c r="Z43" s="1427">
        <f>+E43-W43</f>
        <v>0</v>
      </c>
      <c r="AA43" s="1234">
        <f t="shared" si="15"/>
        <v>0</v>
      </c>
      <c r="AB43" s="1428">
        <f t="shared" si="8"/>
        <v>0</v>
      </c>
      <c r="AC43" s="1423">
        <f t="shared" si="9"/>
        <v>0</v>
      </c>
      <c r="AD43" s="1423">
        <f t="shared" si="10"/>
        <v>0</v>
      </c>
      <c r="AE43" s="1423">
        <v>23371.8</v>
      </c>
      <c r="AF43" s="1423">
        <f t="shared" si="11"/>
        <v>0</v>
      </c>
      <c r="AG43" s="1423">
        <v>1558.12</v>
      </c>
      <c r="AH43" s="1423">
        <f t="shared" si="12"/>
        <v>0</v>
      </c>
      <c r="AI43" s="1434"/>
    </row>
    <row r="44" spans="1:35" s="1417" customFormat="1" ht="13.8">
      <c r="A44" s="2141"/>
      <c r="B44" s="1268" t="s">
        <v>2783</v>
      </c>
      <c r="C44" s="1241" t="s">
        <v>3530</v>
      </c>
      <c r="D44" s="1245" t="s">
        <v>36</v>
      </c>
      <c r="E44" s="1418">
        <v>1</v>
      </c>
      <c r="F44" s="1575">
        <v>1925.37</v>
      </c>
      <c r="G44" s="1487">
        <v>1929.7</v>
      </c>
      <c r="H44" s="1419">
        <v>1932.14</v>
      </c>
      <c r="I44" s="1485">
        <f t="shared" si="0"/>
        <v>1925.37</v>
      </c>
      <c r="J44" s="1485">
        <f t="shared" si="1"/>
        <v>1929.7</v>
      </c>
      <c r="K44" s="1485">
        <v>0</v>
      </c>
      <c r="L44" s="1485">
        <f t="shared" si="2"/>
        <v>0</v>
      </c>
      <c r="M44" s="1485">
        <v>1</v>
      </c>
      <c r="N44" s="1485">
        <f t="shared" si="3"/>
        <v>1</v>
      </c>
      <c r="O44" s="1485">
        <f t="shared" si="4"/>
        <v>0</v>
      </c>
      <c r="P44" s="1485">
        <f t="shared" si="5"/>
        <v>1929.7</v>
      </c>
      <c r="Q44" s="1485">
        <f t="shared" si="6"/>
        <v>1932.14</v>
      </c>
      <c r="R44" s="1597">
        <f t="shared" si="13"/>
        <v>1932.14</v>
      </c>
      <c r="S44" s="1425">
        <v>1</v>
      </c>
      <c r="T44" s="1232">
        <v>1932.14</v>
      </c>
      <c r="U44" s="1479"/>
      <c r="V44" s="1232">
        <f t="shared" si="14"/>
        <v>0</v>
      </c>
      <c r="W44" s="1425">
        <f>S44+U44</f>
        <v>1</v>
      </c>
      <c r="X44" s="1366">
        <f t="shared" si="17"/>
        <v>1932.14</v>
      </c>
      <c r="Y44" s="1426">
        <f t="shared" si="7"/>
        <v>1</v>
      </c>
      <c r="Z44" s="1427">
        <f>+E44-W44</f>
        <v>0</v>
      </c>
      <c r="AA44" s="1234">
        <f t="shared" si="15"/>
        <v>0</v>
      </c>
      <c r="AB44" s="1428">
        <f t="shared" si="8"/>
        <v>0</v>
      </c>
      <c r="AC44" s="1423">
        <f t="shared" si="9"/>
        <v>0</v>
      </c>
      <c r="AD44" s="1423">
        <f t="shared" si="10"/>
        <v>0</v>
      </c>
      <c r="AE44" s="1423">
        <v>1932.14</v>
      </c>
      <c r="AF44" s="1423">
        <f t="shared" si="11"/>
        <v>0</v>
      </c>
      <c r="AG44" s="1423">
        <v>1932.14</v>
      </c>
      <c r="AH44" s="1423">
        <f t="shared" si="12"/>
        <v>0</v>
      </c>
      <c r="AI44" s="1434"/>
    </row>
    <row r="45" spans="1:35" s="1417" customFormat="1" ht="13.8">
      <c r="A45" s="2141"/>
      <c r="B45" s="1272" t="s">
        <v>1934</v>
      </c>
      <c r="C45" s="1262" t="s">
        <v>3531</v>
      </c>
      <c r="D45" s="1273"/>
      <c r="E45" s="1420"/>
      <c r="F45" s="1267"/>
      <c r="G45" s="1487"/>
      <c r="H45" s="1421"/>
      <c r="I45" s="1485">
        <f t="shared" si="0"/>
        <v>0</v>
      </c>
      <c r="J45" s="1485">
        <f t="shared" si="1"/>
        <v>0</v>
      </c>
      <c r="K45" s="1485"/>
      <c r="L45" s="1485">
        <f t="shared" si="2"/>
        <v>0</v>
      </c>
      <c r="M45" s="1485"/>
      <c r="N45" s="1485">
        <f t="shared" si="3"/>
        <v>0</v>
      </c>
      <c r="O45" s="1485">
        <f t="shared" si="4"/>
        <v>0</v>
      </c>
      <c r="P45" s="1485">
        <f t="shared" si="5"/>
        <v>0</v>
      </c>
      <c r="Q45" s="1485">
        <f t="shared" si="6"/>
        <v>0</v>
      </c>
      <c r="R45" s="1597">
        <f t="shared" si="13"/>
        <v>0</v>
      </c>
      <c r="S45" s="1425"/>
      <c r="T45" s="1232"/>
      <c r="U45" s="1479"/>
      <c r="V45" s="1232">
        <f t="shared" si="14"/>
        <v>0</v>
      </c>
      <c r="W45" s="1425"/>
      <c r="X45" s="1366"/>
      <c r="Y45" s="1426" t="str">
        <f t="shared" si="7"/>
        <v/>
      </c>
      <c r="Z45" s="1427"/>
      <c r="AA45" s="1234">
        <f t="shared" si="15"/>
        <v>0</v>
      </c>
      <c r="AB45" s="1428" t="str">
        <f t="shared" si="8"/>
        <v/>
      </c>
      <c r="AC45" s="1423">
        <f t="shared" si="9"/>
        <v>0</v>
      </c>
      <c r="AD45" s="1423">
        <f t="shared" si="10"/>
        <v>0</v>
      </c>
      <c r="AE45" s="1423"/>
      <c r="AF45" s="1423">
        <f t="shared" si="11"/>
        <v>0</v>
      </c>
      <c r="AG45" s="1423"/>
      <c r="AH45" s="1423">
        <f t="shared" si="12"/>
        <v>0</v>
      </c>
      <c r="AI45" s="1434"/>
    </row>
    <row r="46" spans="1:35" s="1417" customFormat="1" ht="13.8">
      <c r="A46" s="2141"/>
      <c r="B46" s="1268" t="s">
        <v>2784</v>
      </c>
      <c r="C46" s="1241" t="s">
        <v>3532</v>
      </c>
      <c r="D46" s="1245" t="s">
        <v>36</v>
      </c>
      <c r="E46" s="1418">
        <v>50</v>
      </c>
      <c r="F46" s="1575">
        <v>68.91</v>
      </c>
      <c r="G46" s="1487">
        <v>72.099999999999994</v>
      </c>
      <c r="H46" s="1419">
        <v>73.89</v>
      </c>
      <c r="I46" s="1485">
        <f t="shared" si="0"/>
        <v>3445.5</v>
      </c>
      <c r="J46" s="1485">
        <f t="shared" si="1"/>
        <v>3605</v>
      </c>
      <c r="K46" s="1485">
        <v>0</v>
      </c>
      <c r="L46" s="1485">
        <f t="shared" si="2"/>
        <v>0</v>
      </c>
      <c r="M46" s="1485">
        <v>50</v>
      </c>
      <c r="N46" s="1485">
        <f t="shared" si="3"/>
        <v>50</v>
      </c>
      <c r="O46" s="1485">
        <f t="shared" si="4"/>
        <v>0</v>
      </c>
      <c r="P46" s="1485">
        <f t="shared" si="5"/>
        <v>3605</v>
      </c>
      <c r="Q46" s="1485">
        <f t="shared" si="6"/>
        <v>3694.5</v>
      </c>
      <c r="R46" s="1597">
        <f t="shared" si="13"/>
        <v>3694.5</v>
      </c>
      <c r="S46" s="1425">
        <v>37</v>
      </c>
      <c r="T46" s="1232">
        <v>2733.9300000000003</v>
      </c>
      <c r="U46" s="1479">
        <f>+[34]Hoja13!$O$40</f>
        <v>10</v>
      </c>
      <c r="V46" s="1232">
        <f t="shared" si="14"/>
        <v>738.9</v>
      </c>
      <c r="W46" s="1425">
        <f>S46+U46</f>
        <v>47</v>
      </c>
      <c r="X46" s="1366">
        <f t="shared" si="17"/>
        <v>3472.8300000000004</v>
      </c>
      <c r="Y46" s="1426">
        <f t="shared" si="7"/>
        <v>0.94000000000000006</v>
      </c>
      <c r="Z46" s="1427">
        <f>+E46-W46</f>
        <v>3</v>
      </c>
      <c r="AA46" s="1234">
        <f t="shared" si="15"/>
        <v>221.67000000000002</v>
      </c>
      <c r="AB46" s="1428">
        <f t="shared" si="8"/>
        <v>6.0000000000000005E-2</v>
      </c>
      <c r="AC46" s="1423">
        <f t="shared" si="9"/>
        <v>-3.979039320256561E-13</v>
      </c>
      <c r="AD46" s="1423">
        <f t="shared" si="10"/>
        <v>0</v>
      </c>
      <c r="AE46" s="1423">
        <v>3694.5</v>
      </c>
      <c r="AF46" s="1423">
        <f t="shared" si="11"/>
        <v>0</v>
      </c>
      <c r="AG46" s="1423">
        <v>73.89</v>
      </c>
      <c r="AH46" s="1423">
        <f t="shared" si="12"/>
        <v>0</v>
      </c>
      <c r="AI46" s="1434"/>
    </row>
    <row r="47" spans="1:35" s="1417" customFormat="1" ht="13.8">
      <c r="A47" s="2141"/>
      <c r="B47" s="1268" t="s">
        <v>2785</v>
      </c>
      <c r="C47" s="1241" t="s">
        <v>3533</v>
      </c>
      <c r="D47" s="1245" t="s">
        <v>36</v>
      </c>
      <c r="E47" s="1418">
        <v>1</v>
      </c>
      <c r="F47" s="1575">
        <v>137.04</v>
      </c>
      <c r="G47" s="1487">
        <v>140.22999999999999</v>
      </c>
      <c r="H47" s="1419">
        <v>142.02000000000001</v>
      </c>
      <c r="I47" s="1485">
        <f t="shared" si="0"/>
        <v>137.04</v>
      </c>
      <c r="J47" s="1485">
        <f t="shared" si="1"/>
        <v>140.22999999999999</v>
      </c>
      <c r="K47" s="1485">
        <v>0</v>
      </c>
      <c r="L47" s="1485">
        <f t="shared" si="2"/>
        <v>0</v>
      </c>
      <c r="M47" s="1485">
        <v>1</v>
      </c>
      <c r="N47" s="1485">
        <f t="shared" si="3"/>
        <v>1</v>
      </c>
      <c r="O47" s="1485">
        <f t="shared" si="4"/>
        <v>0</v>
      </c>
      <c r="P47" s="1485">
        <f t="shared" si="5"/>
        <v>140.22999999999999</v>
      </c>
      <c r="Q47" s="1485">
        <f t="shared" si="6"/>
        <v>142.02000000000001</v>
      </c>
      <c r="R47" s="1597">
        <f t="shared" si="13"/>
        <v>142.02000000000001</v>
      </c>
      <c r="S47" s="1425">
        <v>0</v>
      </c>
      <c r="T47" s="1232">
        <v>0</v>
      </c>
      <c r="U47" s="1479"/>
      <c r="V47" s="1232">
        <f t="shared" si="14"/>
        <v>0</v>
      </c>
      <c r="W47" s="1425">
        <f>S47+U47</f>
        <v>0</v>
      </c>
      <c r="X47" s="1366">
        <f t="shared" si="17"/>
        <v>0</v>
      </c>
      <c r="Y47" s="1426">
        <f t="shared" si="7"/>
        <v>0</v>
      </c>
      <c r="Z47" s="1427">
        <f>+E47-W47</f>
        <v>1</v>
      </c>
      <c r="AA47" s="1234">
        <f t="shared" si="15"/>
        <v>142.02000000000001</v>
      </c>
      <c r="AB47" s="1428">
        <f t="shared" si="8"/>
        <v>1</v>
      </c>
      <c r="AC47" s="1423">
        <f t="shared" si="9"/>
        <v>0</v>
      </c>
      <c r="AD47" s="1423">
        <f t="shared" si="10"/>
        <v>0</v>
      </c>
      <c r="AE47" s="1423">
        <v>142.02000000000001</v>
      </c>
      <c r="AF47" s="1423">
        <f t="shared" si="11"/>
        <v>0</v>
      </c>
      <c r="AG47" s="1423">
        <v>142.02000000000001</v>
      </c>
      <c r="AH47" s="1423">
        <f t="shared" si="12"/>
        <v>0</v>
      </c>
      <c r="AI47" s="1434"/>
    </row>
    <row r="48" spans="1:35" s="1417" customFormat="1" ht="13.8">
      <c r="A48" s="2141"/>
      <c r="B48" s="1272" t="s">
        <v>1935</v>
      </c>
      <c r="C48" s="1262" t="s">
        <v>3534</v>
      </c>
      <c r="D48" s="1273"/>
      <c r="E48" s="1420"/>
      <c r="F48" s="1267"/>
      <c r="G48" s="1487"/>
      <c r="H48" s="1421"/>
      <c r="I48" s="1485">
        <f t="shared" si="0"/>
        <v>0</v>
      </c>
      <c r="J48" s="1485">
        <f t="shared" si="1"/>
        <v>0</v>
      </c>
      <c r="K48" s="1485"/>
      <c r="L48" s="1485">
        <f t="shared" si="2"/>
        <v>0</v>
      </c>
      <c r="M48" s="1485"/>
      <c r="N48" s="1485">
        <f t="shared" si="3"/>
        <v>0</v>
      </c>
      <c r="O48" s="1485">
        <f t="shared" si="4"/>
        <v>0</v>
      </c>
      <c r="P48" s="1485">
        <f t="shared" si="5"/>
        <v>0</v>
      </c>
      <c r="Q48" s="1485">
        <f t="shared" si="6"/>
        <v>0</v>
      </c>
      <c r="R48" s="1597">
        <f t="shared" si="13"/>
        <v>0</v>
      </c>
      <c r="S48" s="1425"/>
      <c r="T48" s="1232"/>
      <c r="U48" s="1479"/>
      <c r="V48" s="1232">
        <f t="shared" si="14"/>
        <v>0</v>
      </c>
      <c r="W48" s="1425"/>
      <c r="X48" s="1366"/>
      <c r="Y48" s="1426" t="str">
        <f t="shared" si="7"/>
        <v/>
      </c>
      <c r="Z48" s="1427"/>
      <c r="AA48" s="1234">
        <f t="shared" si="15"/>
        <v>0</v>
      </c>
      <c r="AB48" s="1428" t="str">
        <f t="shared" si="8"/>
        <v/>
      </c>
      <c r="AC48" s="1423">
        <f t="shared" si="9"/>
        <v>0</v>
      </c>
      <c r="AD48" s="1423">
        <f t="shared" si="10"/>
        <v>0</v>
      </c>
      <c r="AE48" s="1423"/>
      <c r="AF48" s="1423">
        <f t="shared" si="11"/>
        <v>0</v>
      </c>
      <c r="AG48" s="1423"/>
      <c r="AH48" s="1423">
        <f t="shared" si="12"/>
        <v>0</v>
      </c>
      <c r="AI48" s="1434"/>
    </row>
    <row r="49" spans="1:42" s="1417" customFormat="1" ht="13.8">
      <c r="A49" s="2141"/>
      <c r="B49" s="1268" t="s">
        <v>2786</v>
      </c>
      <c r="C49" s="1241" t="s">
        <v>3535</v>
      </c>
      <c r="D49" s="1245" t="s">
        <v>36</v>
      </c>
      <c r="E49" s="1418">
        <v>16</v>
      </c>
      <c r="F49" s="1575">
        <v>681.39</v>
      </c>
      <c r="G49" s="1487">
        <v>682.91</v>
      </c>
      <c r="H49" s="1419">
        <v>683.72</v>
      </c>
      <c r="I49" s="1485">
        <f t="shared" si="0"/>
        <v>10902.24</v>
      </c>
      <c r="J49" s="1485">
        <f t="shared" si="1"/>
        <v>10926.56</v>
      </c>
      <c r="K49" s="1485">
        <v>0</v>
      </c>
      <c r="L49" s="1485">
        <f t="shared" si="2"/>
        <v>0</v>
      </c>
      <c r="M49" s="1485">
        <v>16</v>
      </c>
      <c r="N49" s="1485">
        <f t="shared" si="3"/>
        <v>16</v>
      </c>
      <c r="O49" s="1485">
        <f t="shared" si="4"/>
        <v>0</v>
      </c>
      <c r="P49" s="1485">
        <f t="shared" si="5"/>
        <v>10926.56</v>
      </c>
      <c r="Q49" s="1485">
        <f t="shared" si="6"/>
        <v>10939.52</v>
      </c>
      <c r="R49" s="1597">
        <f t="shared" si="13"/>
        <v>10939.52</v>
      </c>
      <c r="S49" s="1425">
        <v>0</v>
      </c>
      <c r="T49" s="1232">
        <v>0</v>
      </c>
      <c r="U49" s="1479"/>
      <c r="V49" s="1232">
        <f t="shared" si="14"/>
        <v>0</v>
      </c>
      <c r="W49" s="1425">
        <f t="shared" ref="W49:W56" si="19">S49+U49</f>
        <v>0</v>
      </c>
      <c r="X49" s="1366">
        <f t="shared" si="17"/>
        <v>0</v>
      </c>
      <c r="Y49" s="1426">
        <f t="shared" si="7"/>
        <v>0</v>
      </c>
      <c r="Z49" s="1427">
        <f t="shared" ref="Z49:Z56" si="20">+E49-W49</f>
        <v>16</v>
      </c>
      <c r="AA49" s="1234">
        <f t="shared" si="15"/>
        <v>10939.52</v>
      </c>
      <c r="AB49" s="1428">
        <f t="shared" si="8"/>
        <v>1</v>
      </c>
      <c r="AC49" s="1423">
        <f t="shared" si="9"/>
        <v>0</v>
      </c>
      <c r="AD49" s="1423">
        <f t="shared" si="10"/>
        <v>0</v>
      </c>
      <c r="AE49" s="1423">
        <v>10939.52</v>
      </c>
      <c r="AF49" s="1423">
        <f t="shared" si="11"/>
        <v>0</v>
      </c>
      <c r="AG49" s="1423">
        <v>683.72</v>
      </c>
      <c r="AH49" s="1423">
        <f t="shared" si="12"/>
        <v>0</v>
      </c>
      <c r="AI49" s="1434"/>
    </row>
    <row r="50" spans="1:42" s="1417" customFormat="1" ht="13.8">
      <c r="A50" s="2141"/>
      <c r="B50" s="1268" t="s">
        <v>2787</v>
      </c>
      <c r="C50" s="1241" t="s">
        <v>3536</v>
      </c>
      <c r="D50" s="1245" t="s">
        <v>36</v>
      </c>
      <c r="E50" s="1418">
        <v>16</v>
      </c>
      <c r="F50" s="1575">
        <v>3609.59</v>
      </c>
      <c r="G50" s="1487">
        <v>3611.11</v>
      </c>
      <c r="H50" s="1419">
        <v>3611.92</v>
      </c>
      <c r="I50" s="1485">
        <f t="shared" si="0"/>
        <v>57753.440000000002</v>
      </c>
      <c r="J50" s="1485">
        <f t="shared" si="1"/>
        <v>57777.760000000002</v>
      </c>
      <c r="K50" s="1485">
        <v>0</v>
      </c>
      <c r="L50" s="1485">
        <f t="shared" si="2"/>
        <v>0</v>
      </c>
      <c r="M50" s="1485">
        <v>16</v>
      </c>
      <c r="N50" s="1485">
        <f t="shared" si="3"/>
        <v>16</v>
      </c>
      <c r="O50" s="1485">
        <f t="shared" si="4"/>
        <v>0</v>
      </c>
      <c r="P50" s="1485">
        <f t="shared" si="5"/>
        <v>57777.760000000002</v>
      </c>
      <c r="Q50" s="1485">
        <f t="shared" si="6"/>
        <v>57790.720000000001</v>
      </c>
      <c r="R50" s="1597">
        <f t="shared" si="13"/>
        <v>57790.720000000001</v>
      </c>
      <c r="S50" s="1425">
        <v>0</v>
      </c>
      <c r="T50" s="1232">
        <v>0</v>
      </c>
      <c r="U50" s="1479"/>
      <c r="V50" s="1232">
        <f t="shared" si="14"/>
        <v>0</v>
      </c>
      <c r="W50" s="1425">
        <f t="shared" si="19"/>
        <v>0</v>
      </c>
      <c r="X50" s="1366">
        <f t="shared" si="17"/>
        <v>0</v>
      </c>
      <c r="Y50" s="1426">
        <f t="shared" si="7"/>
        <v>0</v>
      </c>
      <c r="Z50" s="1427">
        <f t="shared" si="20"/>
        <v>16</v>
      </c>
      <c r="AA50" s="1234">
        <f t="shared" si="15"/>
        <v>57790.720000000001</v>
      </c>
      <c r="AB50" s="1428">
        <f t="shared" si="8"/>
        <v>1</v>
      </c>
      <c r="AC50" s="1423">
        <f t="shared" si="9"/>
        <v>0</v>
      </c>
      <c r="AD50" s="1423">
        <f t="shared" si="10"/>
        <v>0</v>
      </c>
      <c r="AE50" s="1423">
        <v>57790.720000000001</v>
      </c>
      <c r="AF50" s="1423">
        <f t="shared" si="11"/>
        <v>0</v>
      </c>
      <c r="AG50" s="1423">
        <v>3611.92</v>
      </c>
      <c r="AH50" s="1423">
        <f t="shared" si="12"/>
        <v>0</v>
      </c>
      <c r="AI50" s="1434"/>
    </row>
    <row r="51" spans="1:42" s="1417" customFormat="1" ht="13.8">
      <c r="A51" s="2141"/>
      <c r="B51" s="1268" t="s">
        <v>2788</v>
      </c>
      <c r="C51" s="1241" t="s">
        <v>3537</v>
      </c>
      <c r="D51" s="1245" t="s">
        <v>36</v>
      </c>
      <c r="E51" s="1418">
        <v>16</v>
      </c>
      <c r="F51" s="1575">
        <v>218.09</v>
      </c>
      <c r="G51" s="1487">
        <v>219.61</v>
      </c>
      <c r="H51" s="1419">
        <v>220.42</v>
      </c>
      <c r="I51" s="1485">
        <f t="shared" si="0"/>
        <v>3489.44</v>
      </c>
      <c r="J51" s="1485">
        <f t="shared" si="1"/>
        <v>3513.76</v>
      </c>
      <c r="K51" s="1485">
        <v>0</v>
      </c>
      <c r="L51" s="1485">
        <f t="shared" si="2"/>
        <v>0</v>
      </c>
      <c r="M51" s="1485">
        <v>16</v>
      </c>
      <c r="N51" s="1485">
        <f t="shared" si="3"/>
        <v>16</v>
      </c>
      <c r="O51" s="1485">
        <f t="shared" si="4"/>
        <v>0</v>
      </c>
      <c r="P51" s="1485">
        <f t="shared" si="5"/>
        <v>3513.76</v>
      </c>
      <c r="Q51" s="1485">
        <f t="shared" si="6"/>
        <v>3526.72</v>
      </c>
      <c r="R51" s="1597">
        <f t="shared" si="13"/>
        <v>3526.72</v>
      </c>
      <c r="S51" s="1425">
        <v>0</v>
      </c>
      <c r="T51" s="1232">
        <v>0</v>
      </c>
      <c r="U51" s="1479"/>
      <c r="V51" s="1232">
        <f t="shared" si="14"/>
        <v>0</v>
      </c>
      <c r="W51" s="1425">
        <f t="shared" si="19"/>
        <v>0</v>
      </c>
      <c r="X51" s="1366">
        <f t="shared" si="17"/>
        <v>0</v>
      </c>
      <c r="Y51" s="1426">
        <f t="shared" si="7"/>
        <v>0</v>
      </c>
      <c r="Z51" s="1427">
        <f t="shared" si="20"/>
        <v>16</v>
      </c>
      <c r="AA51" s="1234">
        <f t="shared" si="15"/>
        <v>3526.72</v>
      </c>
      <c r="AB51" s="1428">
        <f t="shared" si="8"/>
        <v>1</v>
      </c>
      <c r="AC51" s="1423">
        <f t="shared" si="9"/>
        <v>0</v>
      </c>
      <c r="AD51" s="1423">
        <f t="shared" si="10"/>
        <v>0</v>
      </c>
      <c r="AE51" s="1423">
        <v>3526.72</v>
      </c>
      <c r="AF51" s="1423">
        <f t="shared" si="11"/>
        <v>0</v>
      </c>
      <c r="AG51" s="1423">
        <v>220.42</v>
      </c>
      <c r="AH51" s="1423">
        <f t="shared" si="12"/>
        <v>0</v>
      </c>
      <c r="AI51" s="1434"/>
    </row>
    <row r="52" spans="1:42" s="1417" customFormat="1" ht="13.8">
      <c r="A52" s="2141"/>
      <c r="B52" s="1268" t="s">
        <v>2789</v>
      </c>
      <c r="C52" s="2335" t="s">
        <v>3538</v>
      </c>
      <c r="D52" s="1245" t="s">
        <v>36</v>
      </c>
      <c r="E52" s="1418">
        <v>16</v>
      </c>
      <c r="F52" s="1575">
        <v>843.09</v>
      </c>
      <c r="G52" s="1487">
        <v>844.61</v>
      </c>
      <c r="H52" s="1419">
        <v>845.42</v>
      </c>
      <c r="I52" s="1485">
        <f t="shared" si="0"/>
        <v>13489.44</v>
      </c>
      <c r="J52" s="1485">
        <f t="shared" si="1"/>
        <v>13513.76</v>
      </c>
      <c r="K52" s="1485">
        <v>0</v>
      </c>
      <c r="L52" s="1485">
        <f t="shared" si="2"/>
        <v>0</v>
      </c>
      <c r="M52" s="1485">
        <v>16</v>
      </c>
      <c r="N52" s="1485">
        <f t="shared" si="3"/>
        <v>16</v>
      </c>
      <c r="O52" s="1485">
        <f t="shared" si="4"/>
        <v>0</v>
      </c>
      <c r="P52" s="1485">
        <f t="shared" si="5"/>
        <v>13513.76</v>
      </c>
      <c r="Q52" s="1485">
        <f t="shared" si="6"/>
        <v>13526.72</v>
      </c>
      <c r="R52" s="1597">
        <f t="shared" si="13"/>
        <v>13526.72</v>
      </c>
      <c r="S52" s="1425">
        <v>2</v>
      </c>
      <c r="T52" s="1232">
        <v>1690.84</v>
      </c>
      <c r="U52" s="2336">
        <f>+[34]Hoja13!$O$46</f>
        <v>14</v>
      </c>
      <c r="V52" s="1232">
        <f t="shared" si="14"/>
        <v>11835.88</v>
      </c>
      <c r="W52" s="1425">
        <f t="shared" si="19"/>
        <v>16</v>
      </c>
      <c r="X52" s="1366">
        <f t="shared" si="17"/>
        <v>13526.72</v>
      </c>
      <c r="Y52" s="1426">
        <f t="shared" si="7"/>
        <v>1</v>
      </c>
      <c r="Z52" s="1427">
        <f t="shared" si="20"/>
        <v>0</v>
      </c>
      <c r="AA52" s="1234">
        <f t="shared" si="15"/>
        <v>0</v>
      </c>
      <c r="AB52" s="1428">
        <f t="shared" si="8"/>
        <v>0</v>
      </c>
      <c r="AC52" s="1423">
        <f t="shared" si="9"/>
        <v>0</v>
      </c>
      <c r="AD52" s="1423">
        <f t="shared" si="10"/>
        <v>0</v>
      </c>
      <c r="AE52" s="1423">
        <v>13526.72</v>
      </c>
      <c r="AF52" s="1423">
        <f t="shared" si="11"/>
        <v>0</v>
      </c>
      <c r="AG52" s="1423">
        <v>845.42</v>
      </c>
      <c r="AH52" s="1423">
        <f t="shared" si="12"/>
        <v>0</v>
      </c>
      <c r="AI52" s="1434"/>
    </row>
    <row r="53" spans="1:42" s="1417" customFormat="1" ht="13.8">
      <c r="A53" s="2141"/>
      <c r="B53" s="1268" t="s">
        <v>2790</v>
      </c>
      <c r="C53" s="1241" t="s">
        <v>3539</v>
      </c>
      <c r="D53" s="1245" t="s">
        <v>36</v>
      </c>
      <c r="E53" s="1418">
        <v>4</v>
      </c>
      <c r="F53" s="1575">
        <v>3081.58</v>
      </c>
      <c r="G53" s="1487">
        <v>3083.1</v>
      </c>
      <c r="H53" s="1419">
        <v>3083.91</v>
      </c>
      <c r="I53" s="1485">
        <f t="shared" si="0"/>
        <v>12326.32</v>
      </c>
      <c r="J53" s="1485">
        <f t="shared" si="1"/>
        <v>12332.4</v>
      </c>
      <c r="K53" s="1485">
        <v>0</v>
      </c>
      <c r="L53" s="1485">
        <f t="shared" si="2"/>
        <v>0</v>
      </c>
      <c r="M53" s="1485">
        <v>4</v>
      </c>
      <c r="N53" s="1485">
        <f t="shared" si="3"/>
        <v>4</v>
      </c>
      <c r="O53" s="1485">
        <f t="shared" si="4"/>
        <v>0</v>
      </c>
      <c r="P53" s="1485">
        <f t="shared" si="5"/>
        <v>12332.4</v>
      </c>
      <c r="Q53" s="1485">
        <f t="shared" si="6"/>
        <v>12335.64</v>
      </c>
      <c r="R53" s="1597">
        <f t="shared" si="13"/>
        <v>12335.64</v>
      </c>
      <c r="S53" s="1425">
        <v>4</v>
      </c>
      <c r="T53" s="1232">
        <v>12335.64</v>
      </c>
      <c r="U53" s="1479"/>
      <c r="V53" s="1232">
        <f t="shared" si="14"/>
        <v>0</v>
      </c>
      <c r="W53" s="1425">
        <f t="shared" si="19"/>
        <v>4</v>
      </c>
      <c r="X53" s="1366">
        <f t="shared" si="17"/>
        <v>12335.64</v>
      </c>
      <c r="Y53" s="1426">
        <f t="shared" si="7"/>
        <v>1</v>
      </c>
      <c r="Z53" s="1427">
        <f t="shared" si="20"/>
        <v>0</v>
      </c>
      <c r="AA53" s="1234">
        <f t="shared" si="15"/>
        <v>0</v>
      </c>
      <c r="AB53" s="1428">
        <f t="shared" si="8"/>
        <v>0</v>
      </c>
      <c r="AC53" s="1423">
        <f t="shared" si="9"/>
        <v>0</v>
      </c>
      <c r="AD53" s="1423">
        <f t="shared" si="10"/>
        <v>0</v>
      </c>
      <c r="AE53" s="1423">
        <v>12335.64</v>
      </c>
      <c r="AF53" s="1423">
        <f t="shared" si="11"/>
        <v>0</v>
      </c>
      <c r="AG53" s="1423">
        <v>3083.91</v>
      </c>
      <c r="AH53" s="1423">
        <f t="shared" si="12"/>
        <v>0</v>
      </c>
      <c r="AI53" s="1434"/>
    </row>
    <row r="54" spans="1:42" s="1417" customFormat="1" ht="13.8">
      <c r="A54" s="2141"/>
      <c r="B54" s="1268" t="s">
        <v>2791</v>
      </c>
      <c r="C54" s="1241" t="s">
        <v>3540</v>
      </c>
      <c r="D54" s="1245" t="s">
        <v>36</v>
      </c>
      <c r="E54" s="1418">
        <v>1</v>
      </c>
      <c r="F54" s="1575">
        <v>667.09</v>
      </c>
      <c r="G54" s="1487">
        <v>668.61</v>
      </c>
      <c r="H54" s="1419">
        <v>669.42</v>
      </c>
      <c r="I54" s="1485">
        <f t="shared" si="0"/>
        <v>667.09</v>
      </c>
      <c r="J54" s="1485">
        <f t="shared" si="1"/>
        <v>668.61</v>
      </c>
      <c r="K54" s="1485">
        <v>0</v>
      </c>
      <c r="L54" s="1485">
        <f t="shared" si="2"/>
        <v>0</v>
      </c>
      <c r="M54" s="1485">
        <v>1</v>
      </c>
      <c r="N54" s="1485">
        <f t="shared" si="3"/>
        <v>1</v>
      </c>
      <c r="O54" s="1485">
        <f t="shared" si="4"/>
        <v>0</v>
      </c>
      <c r="P54" s="1485">
        <f t="shared" si="5"/>
        <v>668.61</v>
      </c>
      <c r="Q54" s="1485">
        <f t="shared" si="6"/>
        <v>669.42</v>
      </c>
      <c r="R54" s="1597">
        <f t="shared" si="13"/>
        <v>669.42</v>
      </c>
      <c r="S54" s="1425">
        <v>1</v>
      </c>
      <c r="T54" s="1232">
        <v>669.42</v>
      </c>
      <c r="U54" s="1479"/>
      <c r="V54" s="1232">
        <f t="shared" si="14"/>
        <v>0</v>
      </c>
      <c r="W54" s="1425">
        <f t="shared" si="19"/>
        <v>1</v>
      </c>
      <c r="X54" s="1366">
        <f t="shared" si="17"/>
        <v>669.42</v>
      </c>
      <c r="Y54" s="1426">
        <f t="shared" si="7"/>
        <v>1</v>
      </c>
      <c r="Z54" s="1427">
        <f t="shared" si="20"/>
        <v>0</v>
      </c>
      <c r="AA54" s="1234">
        <f t="shared" si="15"/>
        <v>0</v>
      </c>
      <c r="AB54" s="1428">
        <f t="shared" si="8"/>
        <v>0</v>
      </c>
      <c r="AC54" s="1423">
        <f t="shared" si="9"/>
        <v>0</v>
      </c>
      <c r="AD54" s="1423">
        <f t="shared" si="10"/>
        <v>0</v>
      </c>
      <c r="AE54" s="1423">
        <v>669.42</v>
      </c>
      <c r="AF54" s="1423">
        <f t="shared" si="11"/>
        <v>0</v>
      </c>
      <c r="AG54" s="1423">
        <v>669.42</v>
      </c>
      <c r="AH54" s="1423">
        <f t="shared" si="12"/>
        <v>0</v>
      </c>
      <c r="AI54" s="1434"/>
    </row>
    <row r="55" spans="1:42" s="1417" customFormat="1" ht="13.8">
      <c r="A55" s="2141"/>
      <c r="B55" s="1268" t="s">
        <v>2792</v>
      </c>
      <c r="C55" s="1241" t="s">
        <v>3541</v>
      </c>
      <c r="D55" s="1245" t="s">
        <v>36</v>
      </c>
      <c r="E55" s="1418">
        <v>1</v>
      </c>
      <c r="F55" s="1575">
        <v>67.59</v>
      </c>
      <c r="G55" s="1487">
        <v>69.11</v>
      </c>
      <c r="H55" s="1419">
        <v>69.92</v>
      </c>
      <c r="I55" s="1485">
        <f t="shared" si="0"/>
        <v>67.59</v>
      </c>
      <c r="J55" s="1485">
        <f t="shared" si="1"/>
        <v>69.11</v>
      </c>
      <c r="K55" s="1485">
        <v>0</v>
      </c>
      <c r="L55" s="1485">
        <f t="shared" si="2"/>
        <v>0</v>
      </c>
      <c r="M55" s="1485">
        <v>1</v>
      </c>
      <c r="N55" s="1485">
        <f t="shared" si="3"/>
        <v>1</v>
      </c>
      <c r="O55" s="1485">
        <f t="shared" si="4"/>
        <v>0</v>
      </c>
      <c r="P55" s="1485">
        <f t="shared" si="5"/>
        <v>69.11</v>
      </c>
      <c r="Q55" s="1485">
        <f t="shared" si="6"/>
        <v>69.92</v>
      </c>
      <c r="R55" s="1597">
        <f t="shared" si="13"/>
        <v>69.92</v>
      </c>
      <c r="S55" s="1425">
        <v>0</v>
      </c>
      <c r="T55" s="1232">
        <v>0</v>
      </c>
      <c r="U55" s="1479"/>
      <c r="V55" s="1232">
        <f t="shared" si="14"/>
        <v>0</v>
      </c>
      <c r="W55" s="1425">
        <f t="shared" si="19"/>
        <v>0</v>
      </c>
      <c r="X55" s="1366">
        <f t="shared" si="17"/>
        <v>0</v>
      </c>
      <c r="Y55" s="1426">
        <f t="shared" si="7"/>
        <v>0</v>
      </c>
      <c r="Z55" s="1427">
        <f t="shared" si="20"/>
        <v>1</v>
      </c>
      <c r="AA55" s="1234">
        <f t="shared" si="15"/>
        <v>69.92</v>
      </c>
      <c r="AB55" s="1428">
        <f t="shared" si="8"/>
        <v>1</v>
      </c>
      <c r="AC55" s="1423">
        <f t="shared" si="9"/>
        <v>0</v>
      </c>
      <c r="AD55" s="1423">
        <f t="shared" si="10"/>
        <v>0</v>
      </c>
      <c r="AE55" s="1423">
        <v>69.92</v>
      </c>
      <c r="AF55" s="1423">
        <f t="shared" si="11"/>
        <v>0</v>
      </c>
      <c r="AG55" s="1423">
        <v>69.92</v>
      </c>
      <c r="AH55" s="1423">
        <f t="shared" si="12"/>
        <v>0</v>
      </c>
      <c r="AI55" s="1434"/>
    </row>
    <row r="56" spans="1:42" s="1417" customFormat="1" ht="13.8">
      <c r="A56" s="2141"/>
      <c r="B56" s="1268" t="s">
        <v>2793</v>
      </c>
      <c r="C56" s="1241" t="s">
        <v>3542</v>
      </c>
      <c r="D56" s="1245" t="s">
        <v>36</v>
      </c>
      <c r="E56" s="1418">
        <v>1</v>
      </c>
      <c r="F56" s="1575">
        <v>1118.0899999999999</v>
      </c>
      <c r="G56" s="1487">
        <v>1119.6099999999999</v>
      </c>
      <c r="H56" s="1419">
        <v>1120.42</v>
      </c>
      <c r="I56" s="1485">
        <f t="shared" si="0"/>
        <v>1118.0899999999999</v>
      </c>
      <c r="J56" s="1485">
        <f t="shared" si="1"/>
        <v>1119.6099999999999</v>
      </c>
      <c r="K56" s="1485">
        <v>0</v>
      </c>
      <c r="L56" s="1485">
        <f t="shared" si="2"/>
        <v>0</v>
      </c>
      <c r="M56" s="1485">
        <v>1</v>
      </c>
      <c r="N56" s="1485">
        <f t="shared" si="3"/>
        <v>1</v>
      </c>
      <c r="O56" s="1485">
        <f t="shared" si="4"/>
        <v>0</v>
      </c>
      <c r="P56" s="1485">
        <f t="shared" si="5"/>
        <v>1119.6099999999999</v>
      </c>
      <c r="Q56" s="1485">
        <f t="shared" si="6"/>
        <v>1120.42</v>
      </c>
      <c r="R56" s="1597">
        <f t="shared" si="13"/>
        <v>1120.42</v>
      </c>
      <c r="S56" s="1425">
        <v>1</v>
      </c>
      <c r="T56" s="1232">
        <v>1120.42</v>
      </c>
      <c r="U56" s="1479"/>
      <c r="V56" s="1232">
        <f t="shared" si="14"/>
        <v>0</v>
      </c>
      <c r="W56" s="1425">
        <f t="shared" si="19"/>
        <v>1</v>
      </c>
      <c r="X56" s="1366">
        <f t="shared" si="17"/>
        <v>1120.42</v>
      </c>
      <c r="Y56" s="1426">
        <f t="shared" si="7"/>
        <v>1</v>
      </c>
      <c r="Z56" s="1427">
        <f t="shared" si="20"/>
        <v>0</v>
      </c>
      <c r="AA56" s="1234">
        <f t="shared" si="15"/>
        <v>0</v>
      </c>
      <c r="AB56" s="1428">
        <f t="shared" si="8"/>
        <v>0</v>
      </c>
      <c r="AC56" s="1423">
        <f t="shared" si="9"/>
        <v>0</v>
      </c>
      <c r="AD56" s="1423">
        <f t="shared" si="10"/>
        <v>0</v>
      </c>
      <c r="AE56" s="1423">
        <v>1120.42</v>
      </c>
      <c r="AF56" s="1423">
        <f t="shared" si="11"/>
        <v>0</v>
      </c>
      <c r="AG56" s="1423">
        <v>1120.42</v>
      </c>
      <c r="AH56" s="1423">
        <f t="shared" si="12"/>
        <v>0</v>
      </c>
      <c r="AI56" s="1434"/>
    </row>
    <row r="57" spans="1:42" s="1231" customFormat="1" ht="13.8">
      <c r="A57" s="2142" t="s">
        <v>3630</v>
      </c>
      <c r="B57" s="1263" t="s">
        <v>2066</v>
      </c>
      <c r="C57" s="1264" t="s">
        <v>3543</v>
      </c>
      <c r="D57" s="1265"/>
      <c r="E57" s="1266"/>
      <c r="F57" s="1267"/>
      <c r="G57" s="1487"/>
      <c r="H57" s="1267"/>
      <c r="I57" s="1485">
        <f t="shared" si="0"/>
        <v>0</v>
      </c>
      <c r="J57" s="1485">
        <f t="shared" si="1"/>
        <v>0</v>
      </c>
      <c r="K57" s="1485"/>
      <c r="L57" s="1485">
        <f t="shared" si="2"/>
        <v>0</v>
      </c>
      <c r="M57" s="1485"/>
      <c r="N57" s="1485">
        <f t="shared" si="3"/>
        <v>0</v>
      </c>
      <c r="O57" s="1485">
        <f t="shared" si="4"/>
        <v>0</v>
      </c>
      <c r="P57" s="1485">
        <f t="shared" si="5"/>
        <v>0</v>
      </c>
      <c r="Q57" s="1485">
        <f t="shared" si="6"/>
        <v>0</v>
      </c>
      <c r="R57" s="1597">
        <f t="shared" si="13"/>
        <v>0</v>
      </c>
      <c r="S57" s="1233"/>
      <c r="T57" s="1232"/>
      <c r="U57" s="1479"/>
      <c r="V57" s="1232">
        <f t="shared" si="14"/>
        <v>0</v>
      </c>
      <c r="W57" s="1233"/>
      <c r="X57" s="1366"/>
      <c r="Y57" s="1426" t="str">
        <f t="shared" si="7"/>
        <v/>
      </c>
      <c r="Z57" s="1427"/>
      <c r="AA57" s="1234">
        <f t="shared" si="15"/>
        <v>0</v>
      </c>
      <c r="AB57" s="1428" t="str">
        <f t="shared" si="8"/>
        <v/>
      </c>
      <c r="AC57" s="1423">
        <f t="shared" si="9"/>
        <v>0</v>
      </c>
      <c r="AD57" s="1423">
        <f t="shared" si="10"/>
        <v>0</v>
      </c>
      <c r="AE57" s="1230"/>
      <c r="AF57" s="1230">
        <f t="shared" si="11"/>
        <v>0</v>
      </c>
      <c r="AG57" s="1230"/>
      <c r="AH57" s="1423">
        <f t="shared" si="12"/>
        <v>0</v>
      </c>
      <c r="AI57" s="1349"/>
    </row>
    <row r="58" spans="1:42" s="1417" customFormat="1" ht="13.8">
      <c r="A58" s="2141"/>
      <c r="B58" s="1272" t="s">
        <v>2067</v>
      </c>
      <c r="C58" s="1262" t="s">
        <v>3502</v>
      </c>
      <c r="D58" s="1273"/>
      <c r="E58" s="1420"/>
      <c r="F58" s="1267"/>
      <c r="G58" s="1487"/>
      <c r="H58" s="1421"/>
      <c r="I58" s="1485">
        <f t="shared" si="0"/>
        <v>0</v>
      </c>
      <c r="J58" s="1485">
        <f t="shared" si="1"/>
        <v>0</v>
      </c>
      <c r="K58" s="1485"/>
      <c r="L58" s="1485">
        <f t="shared" si="2"/>
        <v>0</v>
      </c>
      <c r="M58" s="1485"/>
      <c r="N58" s="1485">
        <f t="shared" si="3"/>
        <v>0</v>
      </c>
      <c r="O58" s="1485">
        <f t="shared" si="4"/>
        <v>0</v>
      </c>
      <c r="P58" s="1485">
        <f t="shared" si="5"/>
        <v>0</v>
      </c>
      <c r="Q58" s="1485">
        <f t="shared" si="6"/>
        <v>0</v>
      </c>
      <c r="R58" s="1597">
        <f t="shared" si="13"/>
        <v>0</v>
      </c>
      <c r="S58" s="1425"/>
      <c r="T58" s="1232"/>
      <c r="U58" s="1479"/>
      <c r="V58" s="1232">
        <f t="shared" si="14"/>
        <v>0</v>
      </c>
      <c r="W58" s="1425"/>
      <c r="X58" s="1366"/>
      <c r="Y58" s="1426" t="str">
        <f t="shared" si="7"/>
        <v/>
      </c>
      <c r="Z58" s="1427"/>
      <c r="AA58" s="1234">
        <f t="shared" si="15"/>
        <v>0</v>
      </c>
      <c r="AB58" s="1428" t="str">
        <f t="shared" si="8"/>
        <v/>
      </c>
      <c r="AC58" s="1423">
        <f t="shared" si="9"/>
        <v>0</v>
      </c>
      <c r="AD58" s="1423">
        <f t="shared" si="10"/>
        <v>0</v>
      </c>
      <c r="AE58" s="1423"/>
      <c r="AF58" s="1423">
        <f t="shared" si="11"/>
        <v>0</v>
      </c>
      <c r="AG58" s="1423"/>
      <c r="AH58" s="1423">
        <f t="shared" si="12"/>
        <v>0</v>
      </c>
      <c r="AI58" s="1434"/>
    </row>
    <row r="59" spans="1:42" s="1417" customFormat="1" ht="13.8">
      <c r="A59" s="2141"/>
      <c r="B59" s="1268" t="s">
        <v>2068</v>
      </c>
      <c r="C59" s="1241" t="s">
        <v>3544</v>
      </c>
      <c r="D59" s="1245" t="s">
        <v>38</v>
      </c>
      <c r="E59" s="1418">
        <v>1120</v>
      </c>
      <c r="F59" s="1575">
        <v>6.03</v>
      </c>
      <c r="G59" s="1487">
        <v>6.34</v>
      </c>
      <c r="H59" s="1419">
        <v>6.52</v>
      </c>
      <c r="I59" s="1485">
        <f t="shared" si="0"/>
        <v>6753.6</v>
      </c>
      <c r="J59" s="1485">
        <f t="shared" si="1"/>
        <v>7100.8</v>
      </c>
      <c r="K59" s="1485">
        <v>232</v>
      </c>
      <c r="L59" s="1485">
        <f t="shared" si="2"/>
        <v>232</v>
      </c>
      <c r="M59" s="1485">
        <v>888</v>
      </c>
      <c r="N59" s="1485">
        <f t="shared" si="3"/>
        <v>888</v>
      </c>
      <c r="O59" s="1485">
        <f t="shared" si="4"/>
        <v>1470.88</v>
      </c>
      <c r="P59" s="1485">
        <f t="shared" si="5"/>
        <v>5629.92</v>
      </c>
      <c r="Q59" s="1485">
        <f t="shared" si="6"/>
        <v>5789.76</v>
      </c>
      <c r="R59" s="1597">
        <f t="shared" si="13"/>
        <v>7260.64</v>
      </c>
      <c r="S59" s="1425">
        <v>1120</v>
      </c>
      <c r="T59" s="1232">
        <v>7260.64</v>
      </c>
      <c r="U59" s="1479"/>
      <c r="V59" s="1232">
        <f t="shared" si="14"/>
        <v>0</v>
      </c>
      <c r="W59" s="1425">
        <f>S59+U59</f>
        <v>1120</v>
      </c>
      <c r="X59" s="1366">
        <f t="shared" si="17"/>
        <v>7260.64</v>
      </c>
      <c r="Y59" s="1426">
        <f t="shared" si="7"/>
        <v>1</v>
      </c>
      <c r="Z59" s="1427">
        <f>+E59-W59</f>
        <v>0</v>
      </c>
      <c r="AA59" s="1234">
        <f t="shared" si="15"/>
        <v>0</v>
      </c>
      <c r="AB59" s="1428">
        <f t="shared" si="8"/>
        <v>0</v>
      </c>
      <c r="AC59" s="1423">
        <f t="shared" si="9"/>
        <v>0</v>
      </c>
      <c r="AD59" s="1423">
        <f t="shared" si="10"/>
        <v>0</v>
      </c>
      <c r="AE59" s="1423">
        <v>7260.6399999999994</v>
      </c>
      <c r="AF59" s="1423">
        <f t="shared" si="11"/>
        <v>0</v>
      </c>
      <c r="AG59" s="1423">
        <v>6.52</v>
      </c>
      <c r="AH59" s="1423">
        <f t="shared" si="12"/>
        <v>0</v>
      </c>
      <c r="AI59" s="1434"/>
      <c r="AO59" s="1417">
        <v>200</v>
      </c>
      <c r="AP59" s="1417" t="s">
        <v>4350</v>
      </c>
    </row>
    <row r="60" spans="1:42" s="1417" customFormat="1" ht="13.8">
      <c r="A60" s="2141"/>
      <c r="B60" s="1268" t="s">
        <v>2794</v>
      </c>
      <c r="C60" s="1241" t="s">
        <v>3450</v>
      </c>
      <c r="D60" s="1245" t="s">
        <v>38</v>
      </c>
      <c r="E60" s="1418">
        <v>168.38</v>
      </c>
      <c r="F60" s="1575">
        <v>7</v>
      </c>
      <c r="G60" s="1487">
        <v>7.31</v>
      </c>
      <c r="H60" s="1419">
        <v>7.49</v>
      </c>
      <c r="I60" s="1485">
        <f t="shared" si="0"/>
        <v>1178.6600000000001</v>
      </c>
      <c r="J60" s="1485">
        <f t="shared" si="1"/>
        <v>1230.8599999999999</v>
      </c>
      <c r="K60" s="1485">
        <v>41</v>
      </c>
      <c r="L60" s="1485">
        <f t="shared" si="2"/>
        <v>41</v>
      </c>
      <c r="M60" s="1485">
        <v>127.38</v>
      </c>
      <c r="N60" s="1485">
        <f t="shared" si="3"/>
        <v>127.38</v>
      </c>
      <c r="O60" s="1485">
        <f t="shared" si="4"/>
        <v>299.70999999999998</v>
      </c>
      <c r="P60" s="1485">
        <f t="shared" si="5"/>
        <v>931.15</v>
      </c>
      <c r="Q60" s="1485">
        <f t="shared" si="6"/>
        <v>954.08</v>
      </c>
      <c r="R60" s="1597">
        <f t="shared" si="13"/>
        <v>1253.79</v>
      </c>
      <c r="S60" s="1425">
        <v>168</v>
      </c>
      <c r="T60" s="1232">
        <v>1250.94</v>
      </c>
      <c r="U60" s="1479"/>
      <c r="V60" s="1232">
        <f t="shared" si="14"/>
        <v>0</v>
      </c>
      <c r="W60" s="1425">
        <f>S60+U60</f>
        <v>168</v>
      </c>
      <c r="X60" s="1366">
        <f t="shared" si="17"/>
        <v>1250.94</v>
      </c>
      <c r="Y60" s="1426">
        <f t="shared" si="7"/>
        <v>0.99772689206326426</v>
      </c>
      <c r="Z60" s="1427">
        <f>+E60-W60</f>
        <v>0.37999999999999545</v>
      </c>
      <c r="AA60" s="1234">
        <f t="shared" si="15"/>
        <v>2.8461999999999659</v>
      </c>
      <c r="AB60" s="1428">
        <f t="shared" si="8"/>
        <v>2.2700771261534754E-3</v>
      </c>
      <c r="AC60" s="1423">
        <f t="shared" si="9"/>
        <v>3.7999999999431822E-3</v>
      </c>
      <c r="AD60" s="1423">
        <f t="shared" si="10"/>
        <v>0</v>
      </c>
      <c r="AE60" s="1423">
        <v>1253.7862</v>
      </c>
      <c r="AF60" s="1423">
        <f t="shared" si="11"/>
        <v>-3.7999999999556167E-3</v>
      </c>
      <c r="AG60" s="1423">
        <v>7.49</v>
      </c>
      <c r="AH60" s="1423">
        <f t="shared" si="12"/>
        <v>0</v>
      </c>
      <c r="AI60" s="1434"/>
    </row>
    <row r="61" spans="1:42" s="1417" customFormat="1" ht="13.8">
      <c r="A61" s="2141"/>
      <c r="B61" s="1268" t="s">
        <v>2795</v>
      </c>
      <c r="C61" s="1241" t="s">
        <v>3545</v>
      </c>
      <c r="D61" s="1245" t="s">
        <v>38</v>
      </c>
      <c r="E61" s="1418">
        <v>186.43</v>
      </c>
      <c r="F61" s="1575">
        <v>9.8800000000000008</v>
      </c>
      <c r="G61" s="1487">
        <v>10.19</v>
      </c>
      <c r="H61" s="1419">
        <v>10.37</v>
      </c>
      <c r="I61" s="1485">
        <f t="shared" si="0"/>
        <v>1841.93</v>
      </c>
      <c r="J61" s="1485">
        <f t="shared" si="1"/>
        <v>1899.72</v>
      </c>
      <c r="K61" s="1485">
        <v>39</v>
      </c>
      <c r="L61" s="1485">
        <f t="shared" si="2"/>
        <v>39</v>
      </c>
      <c r="M61" s="1485">
        <v>147.43</v>
      </c>
      <c r="N61" s="1485">
        <f t="shared" si="3"/>
        <v>147.43</v>
      </c>
      <c r="O61" s="1485">
        <f t="shared" si="4"/>
        <v>397.41</v>
      </c>
      <c r="P61" s="1485">
        <f t="shared" si="5"/>
        <v>1502.31</v>
      </c>
      <c r="Q61" s="1485">
        <f t="shared" si="6"/>
        <v>1528.85</v>
      </c>
      <c r="R61" s="1597">
        <f t="shared" si="13"/>
        <v>1926.26</v>
      </c>
      <c r="S61" s="1425">
        <v>178</v>
      </c>
      <c r="T61" s="1232">
        <v>1838.84</v>
      </c>
      <c r="U61" s="1479">
        <f>+[34]Hoja13!$O$55</f>
        <v>8.4300000000000068</v>
      </c>
      <c r="V61" s="1232">
        <f t="shared" si="14"/>
        <v>87.419100000000057</v>
      </c>
      <c r="W61" s="1425">
        <f>S61+U61</f>
        <v>186.43</v>
      </c>
      <c r="X61" s="1366">
        <f t="shared" si="17"/>
        <v>1926.2591</v>
      </c>
      <c r="Y61" s="1426">
        <f t="shared" si="7"/>
        <v>0.99999953277335352</v>
      </c>
      <c r="Z61" s="1427">
        <f>+E61-W61</f>
        <v>0</v>
      </c>
      <c r="AA61" s="1234">
        <f t="shared" si="15"/>
        <v>0</v>
      </c>
      <c r="AB61" s="1428">
        <f t="shared" si="8"/>
        <v>0</v>
      </c>
      <c r="AC61" s="1423">
        <f t="shared" si="9"/>
        <v>9.0000000000145519E-4</v>
      </c>
      <c r="AD61" s="1423">
        <f t="shared" si="10"/>
        <v>0</v>
      </c>
      <c r="AE61" s="1423">
        <v>1926.2590999999998</v>
      </c>
      <c r="AF61" s="1423">
        <f t="shared" si="11"/>
        <v>-9.0000000022882887E-4</v>
      </c>
      <c r="AG61" s="1423">
        <v>10.37</v>
      </c>
      <c r="AH61" s="1423">
        <f t="shared" si="12"/>
        <v>0</v>
      </c>
      <c r="AI61" s="1434"/>
    </row>
    <row r="62" spans="1:42" s="1417" customFormat="1" ht="13.8">
      <c r="A62" s="2141"/>
      <c r="B62" s="1272" t="s">
        <v>2069</v>
      </c>
      <c r="C62" s="1262" t="s">
        <v>3546</v>
      </c>
      <c r="D62" s="1273"/>
      <c r="E62" s="1420"/>
      <c r="F62" s="1267"/>
      <c r="G62" s="1487"/>
      <c r="H62" s="1421"/>
      <c r="I62" s="1485">
        <f t="shared" si="0"/>
        <v>0</v>
      </c>
      <c r="J62" s="1485">
        <f t="shared" si="1"/>
        <v>0</v>
      </c>
      <c r="K62" s="1485"/>
      <c r="L62" s="1485">
        <f t="shared" si="2"/>
        <v>0</v>
      </c>
      <c r="M62" s="1485"/>
      <c r="N62" s="1485">
        <f t="shared" si="3"/>
        <v>0</v>
      </c>
      <c r="O62" s="1485">
        <f t="shared" si="4"/>
        <v>0</v>
      </c>
      <c r="P62" s="1485">
        <f t="shared" si="5"/>
        <v>0</v>
      </c>
      <c r="Q62" s="1485">
        <f t="shared" si="6"/>
        <v>0</v>
      </c>
      <c r="R62" s="1597">
        <f t="shared" si="13"/>
        <v>0</v>
      </c>
      <c r="S62" s="1425"/>
      <c r="T62" s="1232"/>
      <c r="U62" s="1479"/>
      <c r="V62" s="1232">
        <f t="shared" si="14"/>
        <v>0</v>
      </c>
      <c r="W62" s="1425"/>
      <c r="X62" s="1366"/>
      <c r="Y62" s="1426" t="str">
        <f t="shared" si="7"/>
        <v/>
      </c>
      <c r="Z62" s="1427"/>
      <c r="AA62" s="1234">
        <f t="shared" si="15"/>
        <v>0</v>
      </c>
      <c r="AB62" s="1428" t="str">
        <f t="shared" si="8"/>
        <v/>
      </c>
      <c r="AC62" s="1423">
        <f t="shared" si="9"/>
        <v>0</v>
      </c>
      <c r="AD62" s="1423">
        <f t="shared" si="10"/>
        <v>0</v>
      </c>
      <c r="AE62" s="1423"/>
      <c r="AF62" s="1423">
        <f t="shared" si="11"/>
        <v>0</v>
      </c>
      <c r="AG62" s="1423"/>
      <c r="AH62" s="1423">
        <f t="shared" si="12"/>
        <v>0</v>
      </c>
      <c r="AI62" s="1434"/>
    </row>
    <row r="63" spans="1:42" s="1417" customFormat="1" ht="13.8">
      <c r="A63" s="2141"/>
      <c r="B63" s="1268" t="s">
        <v>2070</v>
      </c>
      <c r="C63" s="1241" t="s">
        <v>3547</v>
      </c>
      <c r="D63" s="1245" t="s">
        <v>1452</v>
      </c>
      <c r="E63" s="1418">
        <v>270</v>
      </c>
      <c r="F63" s="1575">
        <v>90.07</v>
      </c>
      <c r="G63" s="1487">
        <v>93.95</v>
      </c>
      <c r="H63" s="1419">
        <v>95.94</v>
      </c>
      <c r="I63" s="1485">
        <f t="shared" si="0"/>
        <v>24318.9</v>
      </c>
      <c r="J63" s="1485">
        <f t="shared" si="1"/>
        <v>25366.5</v>
      </c>
      <c r="K63" s="1485">
        <v>0</v>
      </c>
      <c r="L63" s="1485">
        <f t="shared" si="2"/>
        <v>0</v>
      </c>
      <c r="M63" s="1485">
        <v>270</v>
      </c>
      <c r="N63" s="1485">
        <f t="shared" si="3"/>
        <v>270</v>
      </c>
      <c r="O63" s="1485">
        <f t="shared" si="4"/>
        <v>0</v>
      </c>
      <c r="P63" s="1485">
        <f t="shared" si="5"/>
        <v>25366.5</v>
      </c>
      <c r="Q63" s="1485">
        <f t="shared" si="6"/>
        <v>25903.8</v>
      </c>
      <c r="R63" s="1597">
        <f t="shared" si="13"/>
        <v>25903.8</v>
      </c>
      <c r="S63" s="1425">
        <v>270</v>
      </c>
      <c r="T63" s="1232">
        <v>25903.799999999996</v>
      </c>
      <c r="U63" s="1479"/>
      <c r="V63" s="1232">
        <f t="shared" si="14"/>
        <v>0</v>
      </c>
      <c r="W63" s="1425">
        <f>S63+U63</f>
        <v>270</v>
      </c>
      <c r="X63" s="1366">
        <f t="shared" si="17"/>
        <v>25903.799999999996</v>
      </c>
      <c r="Y63" s="1426">
        <f t="shared" si="7"/>
        <v>0.99999999999999989</v>
      </c>
      <c r="Z63" s="1427">
        <f>+E63-W63</f>
        <v>0</v>
      </c>
      <c r="AA63" s="1234">
        <f t="shared" si="15"/>
        <v>0</v>
      </c>
      <c r="AB63" s="1428">
        <f t="shared" si="8"/>
        <v>0</v>
      </c>
      <c r="AC63" s="1423">
        <f t="shared" si="9"/>
        <v>3.637978807091713E-12</v>
      </c>
      <c r="AD63" s="1423">
        <f t="shared" si="10"/>
        <v>0</v>
      </c>
      <c r="AE63" s="1423">
        <v>25903.8</v>
      </c>
      <c r="AF63" s="1423">
        <f t="shared" si="11"/>
        <v>0</v>
      </c>
      <c r="AG63" s="1423">
        <v>95.94</v>
      </c>
      <c r="AH63" s="1423">
        <f t="shared" si="12"/>
        <v>0</v>
      </c>
      <c r="AI63" s="1434"/>
      <c r="AO63" s="1417">
        <v>25</v>
      </c>
    </row>
    <row r="64" spans="1:42" s="1417" customFormat="1" ht="13.8">
      <c r="A64" s="2141"/>
      <c r="B64" s="1272" t="s">
        <v>2796</v>
      </c>
      <c r="C64" s="1262" t="s">
        <v>3520</v>
      </c>
      <c r="D64" s="1273"/>
      <c r="E64" s="1420"/>
      <c r="F64" s="1267"/>
      <c r="G64" s="1487"/>
      <c r="H64" s="1421"/>
      <c r="I64" s="1485">
        <f t="shared" si="0"/>
        <v>0</v>
      </c>
      <c r="J64" s="1485">
        <f t="shared" si="1"/>
        <v>0</v>
      </c>
      <c r="K64" s="1485"/>
      <c r="L64" s="1485">
        <f t="shared" si="2"/>
        <v>0</v>
      </c>
      <c r="M64" s="1485"/>
      <c r="N64" s="1485">
        <f t="shared" si="3"/>
        <v>0</v>
      </c>
      <c r="O64" s="1485">
        <f t="shared" si="4"/>
        <v>0</v>
      </c>
      <c r="P64" s="1485">
        <f t="shared" si="5"/>
        <v>0</v>
      </c>
      <c r="Q64" s="1485">
        <f t="shared" si="6"/>
        <v>0</v>
      </c>
      <c r="R64" s="1597">
        <f t="shared" si="13"/>
        <v>0</v>
      </c>
      <c r="S64" s="1425"/>
      <c r="T64" s="1232"/>
      <c r="U64" s="1479"/>
      <c r="V64" s="1232">
        <f t="shared" si="14"/>
        <v>0</v>
      </c>
      <c r="W64" s="1425"/>
      <c r="X64" s="1366"/>
      <c r="Y64" s="1426" t="str">
        <f t="shared" si="7"/>
        <v/>
      </c>
      <c r="Z64" s="1427"/>
      <c r="AA64" s="1234">
        <f t="shared" si="15"/>
        <v>0</v>
      </c>
      <c r="AB64" s="1428" t="str">
        <f t="shared" si="8"/>
        <v/>
      </c>
      <c r="AC64" s="1423">
        <f t="shared" si="9"/>
        <v>0</v>
      </c>
      <c r="AD64" s="1423">
        <f t="shared" si="10"/>
        <v>0</v>
      </c>
      <c r="AE64" s="1423"/>
      <c r="AF64" s="1423">
        <f t="shared" si="11"/>
        <v>0</v>
      </c>
      <c r="AG64" s="1423"/>
      <c r="AH64" s="1423">
        <f t="shared" si="12"/>
        <v>0</v>
      </c>
      <c r="AI64" s="1434"/>
    </row>
    <row r="65" spans="1:35" s="1417" customFormat="1" ht="13.8">
      <c r="A65" s="2141"/>
      <c r="B65" s="1268" t="s">
        <v>2797</v>
      </c>
      <c r="C65" s="1241" t="s">
        <v>3548</v>
      </c>
      <c r="D65" s="1245" t="s">
        <v>38</v>
      </c>
      <c r="E65" s="1418">
        <v>5114.58</v>
      </c>
      <c r="F65" s="1575">
        <v>8.11</v>
      </c>
      <c r="G65" s="1487">
        <v>8.57</v>
      </c>
      <c r="H65" s="1419">
        <v>8.81</v>
      </c>
      <c r="I65" s="1485">
        <f t="shared" si="0"/>
        <v>41479.24</v>
      </c>
      <c r="J65" s="1485">
        <f t="shared" si="1"/>
        <v>43831.95</v>
      </c>
      <c r="K65" s="1485">
        <v>0</v>
      </c>
      <c r="L65" s="1485">
        <f t="shared" si="2"/>
        <v>0</v>
      </c>
      <c r="M65" s="1485">
        <v>5114.58</v>
      </c>
      <c r="N65" s="1485">
        <f t="shared" si="3"/>
        <v>5114.58</v>
      </c>
      <c r="O65" s="1485">
        <f t="shared" si="4"/>
        <v>0</v>
      </c>
      <c r="P65" s="1485">
        <f t="shared" si="5"/>
        <v>43831.95</v>
      </c>
      <c r="Q65" s="1485">
        <f t="shared" si="6"/>
        <v>45059.45</v>
      </c>
      <c r="R65" s="1597">
        <f t="shared" si="13"/>
        <v>45059.45</v>
      </c>
      <c r="S65" s="1425">
        <v>4098</v>
      </c>
      <c r="T65" s="1232">
        <v>36103.380000000005</v>
      </c>
      <c r="U65" s="1479">
        <f>+[34]Hoja13!$O$59</f>
        <v>500</v>
      </c>
      <c r="V65" s="1232">
        <f t="shared" si="14"/>
        <v>4405</v>
      </c>
      <c r="W65" s="1425">
        <f>S65+U65</f>
        <v>4598</v>
      </c>
      <c r="X65" s="1366">
        <f t="shared" si="17"/>
        <v>40508.380000000005</v>
      </c>
      <c r="Y65" s="1426">
        <f t="shared" si="7"/>
        <v>0.89899854525521294</v>
      </c>
      <c r="Z65" s="1427">
        <f>+E65-W65</f>
        <v>516.57999999999993</v>
      </c>
      <c r="AA65" s="1234">
        <f t="shared" si="15"/>
        <v>4551.0697999999993</v>
      </c>
      <c r="AB65" s="1428">
        <f t="shared" si="8"/>
        <v>0.10100145030620657</v>
      </c>
      <c r="AC65" s="1423">
        <f t="shared" si="9"/>
        <v>1.9999999312858563E-4</v>
      </c>
      <c r="AD65" s="1423">
        <f t="shared" si="10"/>
        <v>0</v>
      </c>
      <c r="AE65" s="1423">
        <v>45059.449800000002</v>
      </c>
      <c r="AF65" s="1423">
        <f t="shared" si="11"/>
        <v>-1.9999999494757503E-4</v>
      </c>
      <c r="AG65" s="1423">
        <v>8.81</v>
      </c>
      <c r="AH65" s="1423">
        <f t="shared" si="12"/>
        <v>0</v>
      </c>
      <c r="AI65" s="1434"/>
    </row>
    <row r="66" spans="1:35" s="1417" customFormat="1" ht="13.8">
      <c r="A66" s="2141"/>
      <c r="B66" s="1272" t="s">
        <v>2798</v>
      </c>
      <c r="C66" s="1262" t="s">
        <v>3526</v>
      </c>
      <c r="D66" s="1273"/>
      <c r="E66" s="1420"/>
      <c r="F66" s="1267"/>
      <c r="G66" s="1487"/>
      <c r="H66" s="1421"/>
      <c r="I66" s="1485">
        <f t="shared" si="0"/>
        <v>0</v>
      </c>
      <c r="J66" s="1485">
        <f t="shared" si="1"/>
        <v>0</v>
      </c>
      <c r="K66" s="1485"/>
      <c r="L66" s="1485">
        <f t="shared" si="2"/>
        <v>0</v>
      </c>
      <c r="M66" s="1485"/>
      <c r="N66" s="1485">
        <f t="shared" si="3"/>
        <v>0</v>
      </c>
      <c r="O66" s="1485">
        <f t="shared" si="4"/>
        <v>0</v>
      </c>
      <c r="P66" s="1485">
        <f t="shared" si="5"/>
        <v>0</v>
      </c>
      <c r="Q66" s="1485">
        <f t="shared" si="6"/>
        <v>0</v>
      </c>
      <c r="R66" s="1597">
        <f t="shared" si="13"/>
        <v>0</v>
      </c>
      <c r="S66" s="1425"/>
      <c r="T66" s="1232"/>
      <c r="U66" s="1479"/>
      <c r="V66" s="1232">
        <f t="shared" si="14"/>
        <v>0</v>
      </c>
      <c r="W66" s="1425"/>
      <c r="X66" s="1366"/>
      <c r="Y66" s="1426" t="str">
        <f t="shared" si="7"/>
        <v/>
      </c>
      <c r="Z66" s="1427"/>
      <c r="AA66" s="1234">
        <f t="shared" si="15"/>
        <v>0</v>
      </c>
      <c r="AB66" s="1428" t="str">
        <f t="shared" si="8"/>
        <v/>
      </c>
      <c r="AC66" s="1423">
        <f t="shared" si="9"/>
        <v>0</v>
      </c>
      <c r="AD66" s="1423">
        <f t="shared" si="10"/>
        <v>0</v>
      </c>
      <c r="AE66" s="1423"/>
      <c r="AF66" s="1423">
        <f t="shared" si="11"/>
        <v>0</v>
      </c>
      <c r="AG66" s="1423"/>
      <c r="AH66" s="1423">
        <f t="shared" si="12"/>
        <v>0</v>
      </c>
      <c r="AI66" s="1434"/>
    </row>
    <row r="67" spans="1:35" s="1417" customFormat="1" ht="13.8">
      <c r="A67" s="2141"/>
      <c r="B67" s="1268" t="s">
        <v>2799</v>
      </c>
      <c r="C67" s="1241" t="s">
        <v>3527</v>
      </c>
      <c r="D67" s="1245" t="s">
        <v>36</v>
      </c>
      <c r="E67" s="1418">
        <v>4</v>
      </c>
      <c r="F67" s="1575">
        <v>397.6</v>
      </c>
      <c r="G67" s="1487">
        <v>399.12</v>
      </c>
      <c r="H67" s="1419">
        <v>399.93</v>
      </c>
      <c r="I67" s="1485">
        <f t="shared" ref="I67:I117" si="21">ROUND(E67*F67,2)</f>
        <v>1590.4</v>
      </c>
      <c r="J67" s="1485">
        <f t="shared" ref="J67:J117" si="22">ROUND(E67*G67,2)</f>
        <v>1596.48</v>
      </c>
      <c r="K67" s="1485">
        <v>0</v>
      </c>
      <c r="L67" s="1485">
        <f t="shared" si="2"/>
        <v>0</v>
      </c>
      <c r="M67" s="1485">
        <v>4</v>
      </c>
      <c r="N67" s="1485">
        <f t="shared" si="3"/>
        <v>4</v>
      </c>
      <c r="O67" s="1485">
        <f t="shared" si="4"/>
        <v>0</v>
      </c>
      <c r="P67" s="1485">
        <f t="shared" si="5"/>
        <v>1596.48</v>
      </c>
      <c r="Q67" s="1485">
        <f t="shared" si="6"/>
        <v>1599.72</v>
      </c>
      <c r="R67" s="1597">
        <f t="shared" si="13"/>
        <v>1599.72</v>
      </c>
      <c r="S67" s="1425">
        <v>0</v>
      </c>
      <c r="T67" s="1232">
        <v>0</v>
      </c>
      <c r="U67" s="1479"/>
      <c r="V67" s="1232">
        <f t="shared" si="14"/>
        <v>0</v>
      </c>
      <c r="W67" s="1425">
        <f>S67+U67</f>
        <v>0</v>
      </c>
      <c r="X67" s="1366">
        <f t="shared" si="17"/>
        <v>0</v>
      </c>
      <c r="Y67" s="1426">
        <f t="shared" si="7"/>
        <v>0</v>
      </c>
      <c r="Z67" s="1427">
        <f>+E67-W67</f>
        <v>4</v>
      </c>
      <c r="AA67" s="1234">
        <f t="shared" si="15"/>
        <v>1599.72</v>
      </c>
      <c r="AB67" s="1428">
        <f t="shared" si="8"/>
        <v>1</v>
      </c>
      <c r="AC67" s="1423">
        <f t="shared" ref="AC67:AC118" si="23">+R67-X67-AA67</f>
        <v>0</v>
      </c>
      <c r="AD67" s="1423">
        <f t="shared" ref="AD67:AD117" si="24">+E67-W67-Z67</f>
        <v>0</v>
      </c>
      <c r="AE67" s="1423">
        <v>1599.72</v>
      </c>
      <c r="AF67" s="1423">
        <f t="shared" ref="AF67:AF117" si="25">+AE67-R67</f>
        <v>0</v>
      </c>
      <c r="AG67" s="1423">
        <v>399.93</v>
      </c>
      <c r="AH67" s="1423">
        <f t="shared" ref="AH67:AH117" si="26">+AG67-H67</f>
        <v>0</v>
      </c>
      <c r="AI67" s="1434"/>
    </row>
    <row r="68" spans="1:35" s="1417" customFormat="1" ht="13.8">
      <c r="A68" s="2141"/>
      <c r="B68" s="1272" t="s">
        <v>2800</v>
      </c>
      <c r="C68" s="1262" t="s">
        <v>3528</v>
      </c>
      <c r="D68" s="1273"/>
      <c r="E68" s="1420"/>
      <c r="F68" s="1267"/>
      <c r="G68" s="1487"/>
      <c r="H68" s="1421"/>
      <c r="I68" s="1485">
        <f t="shared" si="21"/>
        <v>0</v>
      </c>
      <c r="J68" s="1485">
        <f t="shared" si="22"/>
        <v>0</v>
      </c>
      <c r="K68" s="1485"/>
      <c r="L68" s="1485">
        <f t="shared" ref="L68:L117" si="27">E68-N68</f>
        <v>0</v>
      </c>
      <c r="M68" s="1485"/>
      <c r="N68" s="1485">
        <f t="shared" ref="N68:N117" si="28">ROUND(M68,2)</f>
        <v>0</v>
      </c>
      <c r="O68" s="1485">
        <f t="shared" ref="O68:O117" si="29">ROUND(L68*G68,2)</f>
        <v>0</v>
      </c>
      <c r="P68" s="1485">
        <f t="shared" ref="P68:P117" si="30">ROUND(N68*G68,2)</f>
        <v>0</v>
      </c>
      <c r="Q68" s="1485">
        <f t="shared" ref="Q68:Q117" si="31">ROUND(N68*H68,2)</f>
        <v>0</v>
      </c>
      <c r="R68" s="1597">
        <f t="shared" ref="R68:R117" si="32">O68+Q68</f>
        <v>0</v>
      </c>
      <c r="S68" s="1425"/>
      <c r="T68" s="1232"/>
      <c r="U68" s="1479"/>
      <c r="V68" s="1232">
        <f t="shared" si="14"/>
        <v>0</v>
      </c>
      <c r="W68" s="1425"/>
      <c r="X68" s="1366"/>
      <c r="Y68" s="1426" t="str">
        <f t="shared" si="7"/>
        <v/>
      </c>
      <c r="Z68" s="1427"/>
      <c r="AA68" s="1234">
        <f t="shared" si="15"/>
        <v>0</v>
      </c>
      <c r="AB68" s="1428" t="str">
        <f t="shared" si="8"/>
        <v/>
      </c>
      <c r="AC68" s="1423">
        <f t="shared" si="23"/>
        <v>0</v>
      </c>
      <c r="AD68" s="1423">
        <f t="shared" si="24"/>
        <v>0</v>
      </c>
      <c r="AE68" s="1423"/>
      <c r="AF68" s="1423">
        <f t="shared" si="25"/>
        <v>0</v>
      </c>
      <c r="AG68" s="1423"/>
      <c r="AH68" s="1423">
        <f t="shared" si="26"/>
        <v>0</v>
      </c>
      <c r="AI68" s="1434"/>
    </row>
    <row r="69" spans="1:35" s="1417" customFormat="1" ht="13.8">
      <c r="A69" s="2141"/>
      <c r="B69" s="1268" t="s">
        <v>2801</v>
      </c>
      <c r="C69" s="2335" t="s">
        <v>3549</v>
      </c>
      <c r="D69" s="1245" t="s">
        <v>36</v>
      </c>
      <c r="E69" s="1418">
        <v>4</v>
      </c>
      <c r="F69" s="1575">
        <v>548.52</v>
      </c>
      <c r="G69" s="1487">
        <v>551.77</v>
      </c>
      <c r="H69" s="1419">
        <v>553.6</v>
      </c>
      <c r="I69" s="1485">
        <f t="shared" si="21"/>
        <v>2194.08</v>
      </c>
      <c r="J69" s="1485">
        <f t="shared" si="22"/>
        <v>2207.08</v>
      </c>
      <c r="K69" s="1485">
        <v>0</v>
      </c>
      <c r="L69" s="1485">
        <f t="shared" si="27"/>
        <v>0</v>
      </c>
      <c r="M69" s="1485">
        <v>4</v>
      </c>
      <c r="N69" s="1485">
        <f t="shared" si="28"/>
        <v>4</v>
      </c>
      <c r="O69" s="1485">
        <f t="shared" si="29"/>
        <v>0</v>
      </c>
      <c r="P69" s="1485">
        <f t="shared" si="30"/>
        <v>2207.08</v>
      </c>
      <c r="Q69" s="1485">
        <f t="shared" si="31"/>
        <v>2214.4</v>
      </c>
      <c r="R69" s="1597">
        <f t="shared" si="32"/>
        <v>2214.4</v>
      </c>
      <c r="S69" s="1425">
        <v>0</v>
      </c>
      <c r="T69" s="1232">
        <v>0</v>
      </c>
      <c r="U69" s="2336">
        <f>+[34]Hoja13!$O$63</f>
        <v>4</v>
      </c>
      <c r="V69" s="1232">
        <f t="shared" ref="V69:V117" si="33">+U69*H69</f>
        <v>2214.4</v>
      </c>
      <c r="W69" s="1425">
        <f>S69+U69</f>
        <v>4</v>
      </c>
      <c r="X69" s="1366">
        <f t="shared" ref="X69:X117" si="34">+V69+T69</f>
        <v>2214.4</v>
      </c>
      <c r="Y69" s="1426">
        <f t="shared" ref="Y69:Y117" si="35">+IF(D69=0,"",X69/R69)</f>
        <v>1</v>
      </c>
      <c r="Z69" s="1427">
        <f>+E69-W69</f>
        <v>0</v>
      </c>
      <c r="AA69" s="1234">
        <f t="shared" ref="AA69:AA117" si="36">+Z69*H69</f>
        <v>0</v>
      </c>
      <c r="AB69" s="1428">
        <f t="shared" ref="AB69:AB117" si="37">+IF(R69=0,"",AA69/R69)</f>
        <v>0</v>
      </c>
      <c r="AC69" s="1423">
        <f t="shared" si="23"/>
        <v>0</v>
      </c>
      <c r="AD69" s="1423">
        <f t="shared" si="24"/>
        <v>0</v>
      </c>
      <c r="AE69" s="1423">
        <v>2214.4</v>
      </c>
      <c r="AF69" s="1423">
        <f t="shared" si="25"/>
        <v>0</v>
      </c>
      <c r="AG69" s="1423">
        <v>553.6</v>
      </c>
      <c r="AH69" s="1423">
        <f t="shared" si="26"/>
        <v>0</v>
      </c>
      <c r="AI69" s="1434"/>
    </row>
    <row r="70" spans="1:35" s="1417" customFormat="1" ht="13.8">
      <c r="A70" s="2141" t="s">
        <v>3630</v>
      </c>
      <c r="B70" s="1272" t="s">
        <v>2802</v>
      </c>
      <c r="C70" s="1262" t="s">
        <v>3531</v>
      </c>
      <c r="D70" s="1273"/>
      <c r="E70" s="1420"/>
      <c r="F70" s="1267"/>
      <c r="G70" s="1487"/>
      <c r="H70" s="1421"/>
      <c r="I70" s="1485">
        <f t="shared" si="21"/>
        <v>0</v>
      </c>
      <c r="J70" s="1485">
        <f t="shared" si="22"/>
        <v>0</v>
      </c>
      <c r="K70" s="1485"/>
      <c r="L70" s="1485">
        <f t="shared" si="27"/>
        <v>0</v>
      </c>
      <c r="M70" s="1485"/>
      <c r="N70" s="1485">
        <f t="shared" si="28"/>
        <v>0</v>
      </c>
      <c r="O70" s="1485">
        <f t="shared" si="29"/>
        <v>0</v>
      </c>
      <c r="P70" s="1485">
        <f t="shared" si="30"/>
        <v>0</v>
      </c>
      <c r="Q70" s="1485">
        <f t="shared" si="31"/>
        <v>0</v>
      </c>
      <c r="R70" s="1597">
        <f t="shared" si="32"/>
        <v>0</v>
      </c>
      <c r="S70" s="1425"/>
      <c r="T70" s="1232"/>
      <c r="U70" s="1479"/>
      <c r="V70" s="1232">
        <f t="shared" si="33"/>
        <v>0</v>
      </c>
      <c r="W70" s="1425"/>
      <c r="X70" s="1366"/>
      <c r="Y70" s="1426" t="str">
        <f t="shared" si="35"/>
        <v/>
      </c>
      <c r="Z70" s="1427"/>
      <c r="AA70" s="1234">
        <f t="shared" si="36"/>
        <v>0</v>
      </c>
      <c r="AB70" s="1428" t="str">
        <f t="shared" si="37"/>
        <v/>
      </c>
      <c r="AC70" s="1423">
        <f t="shared" si="23"/>
        <v>0</v>
      </c>
      <c r="AD70" s="1423">
        <f t="shared" si="24"/>
        <v>0</v>
      </c>
      <c r="AE70" s="1423"/>
      <c r="AF70" s="1423">
        <f t="shared" si="25"/>
        <v>0</v>
      </c>
      <c r="AG70" s="1423"/>
      <c r="AH70" s="1423">
        <f t="shared" si="26"/>
        <v>0</v>
      </c>
      <c r="AI70" s="1434"/>
    </row>
    <row r="71" spans="1:35" s="1417" customFormat="1" ht="13.8">
      <c r="A71" s="2141" t="s">
        <v>3630</v>
      </c>
      <c r="B71" s="1268" t="s">
        <v>2803</v>
      </c>
      <c r="C71" s="1241" t="s">
        <v>3532</v>
      </c>
      <c r="D71" s="1245" t="s">
        <v>36</v>
      </c>
      <c r="E71" s="1418">
        <v>113</v>
      </c>
      <c r="F71" s="1575">
        <v>68.91</v>
      </c>
      <c r="G71" s="1487">
        <v>72.099999999999994</v>
      </c>
      <c r="H71" s="1419">
        <v>73.89</v>
      </c>
      <c r="I71" s="1485">
        <f t="shared" si="21"/>
        <v>7786.83</v>
      </c>
      <c r="J71" s="1485">
        <f t="shared" si="22"/>
        <v>8147.3</v>
      </c>
      <c r="K71" s="1485">
        <v>18</v>
      </c>
      <c r="L71" s="1485">
        <f t="shared" si="27"/>
        <v>18</v>
      </c>
      <c r="M71" s="1485">
        <v>95</v>
      </c>
      <c r="N71" s="1485">
        <f t="shared" si="28"/>
        <v>95</v>
      </c>
      <c r="O71" s="1485">
        <f t="shared" si="29"/>
        <v>1297.8</v>
      </c>
      <c r="P71" s="1485">
        <f t="shared" si="30"/>
        <v>6849.5</v>
      </c>
      <c r="Q71" s="1485">
        <f t="shared" si="31"/>
        <v>7019.55</v>
      </c>
      <c r="R71" s="1597">
        <f t="shared" si="32"/>
        <v>8317.35</v>
      </c>
      <c r="S71" s="1425">
        <v>40</v>
      </c>
      <c r="T71" s="1232">
        <v>2923.3799999999997</v>
      </c>
      <c r="U71" s="1479"/>
      <c r="V71" s="1232">
        <f t="shared" si="33"/>
        <v>0</v>
      </c>
      <c r="W71" s="1425">
        <f>S71+U71</f>
        <v>40</v>
      </c>
      <c r="X71" s="1366">
        <f t="shared" si="34"/>
        <v>2923.3799999999997</v>
      </c>
      <c r="Y71" s="1426">
        <f t="shared" si="35"/>
        <v>0.35147973813774813</v>
      </c>
      <c r="Z71" s="1427">
        <f>+E71-W71</f>
        <v>73</v>
      </c>
      <c r="AA71" s="1234">
        <f t="shared" si="36"/>
        <v>5393.97</v>
      </c>
      <c r="AB71" s="1428">
        <f t="shared" si="37"/>
        <v>0.64852026186225176</v>
      </c>
      <c r="AC71" s="1423">
        <f t="shared" si="23"/>
        <v>0</v>
      </c>
      <c r="AD71" s="1423">
        <f t="shared" si="24"/>
        <v>0</v>
      </c>
      <c r="AE71" s="1423">
        <v>8317.3499999999985</v>
      </c>
      <c r="AF71" s="1423">
        <f t="shared" si="25"/>
        <v>0</v>
      </c>
      <c r="AG71" s="1423">
        <v>73.89</v>
      </c>
      <c r="AH71" s="1423">
        <f t="shared" si="26"/>
        <v>0</v>
      </c>
      <c r="AI71" s="1434"/>
    </row>
    <row r="72" spans="1:35" s="1417" customFormat="1" ht="13.8">
      <c r="A72" s="2141" t="s">
        <v>3630</v>
      </c>
      <c r="B72" s="1268" t="s">
        <v>2804</v>
      </c>
      <c r="C72" s="1241" t="s">
        <v>3533</v>
      </c>
      <c r="D72" s="1245" t="s">
        <v>36</v>
      </c>
      <c r="E72" s="1418">
        <v>43</v>
      </c>
      <c r="F72" s="1575">
        <v>137.04</v>
      </c>
      <c r="G72" s="1487">
        <v>140.22999999999999</v>
      </c>
      <c r="H72" s="1419">
        <v>142.02000000000001</v>
      </c>
      <c r="I72" s="1485">
        <f t="shared" si="21"/>
        <v>5892.72</v>
      </c>
      <c r="J72" s="1485">
        <f t="shared" si="22"/>
        <v>6029.89</v>
      </c>
      <c r="K72" s="1485">
        <v>3</v>
      </c>
      <c r="L72" s="1485">
        <f t="shared" si="27"/>
        <v>3</v>
      </c>
      <c r="M72" s="1485">
        <v>40</v>
      </c>
      <c r="N72" s="1485">
        <f t="shared" si="28"/>
        <v>40</v>
      </c>
      <c r="O72" s="1485">
        <f t="shared" si="29"/>
        <v>420.69</v>
      </c>
      <c r="P72" s="1485">
        <f t="shared" si="30"/>
        <v>5609.2</v>
      </c>
      <c r="Q72" s="1485">
        <f t="shared" si="31"/>
        <v>5680.8</v>
      </c>
      <c r="R72" s="1597">
        <f t="shared" si="32"/>
        <v>6101.49</v>
      </c>
      <c r="S72" s="1425">
        <v>8</v>
      </c>
      <c r="T72" s="1232">
        <v>1130.79</v>
      </c>
      <c r="U72" s="1479"/>
      <c r="V72" s="1232">
        <f t="shared" si="33"/>
        <v>0</v>
      </c>
      <c r="W72" s="1425">
        <f>S72+U72</f>
        <v>8</v>
      </c>
      <c r="X72" s="1366">
        <f t="shared" si="34"/>
        <v>1130.79</v>
      </c>
      <c r="Y72" s="1426">
        <f t="shared" si="35"/>
        <v>0.18533014067055753</v>
      </c>
      <c r="Z72" s="1427">
        <f>+E72-W72</f>
        <v>35</v>
      </c>
      <c r="AA72" s="1234">
        <f t="shared" si="36"/>
        <v>4970.7000000000007</v>
      </c>
      <c r="AB72" s="1428">
        <f t="shared" si="37"/>
        <v>0.81466985932944258</v>
      </c>
      <c r="AC72" s="1423">
        <f t="shared" si="23"/>
        <v>0</v>
      </c>
      <c r="AD72" s="1423">
        <f t="shared" si="24"/>
        <v>0</v>
      </c>
      <c r="AE72" s="1423">
        <v>6101.4900000000007</v>
      </c>
      <c r="AF72" s="1423">
        <f t="shared" si="25"/>
        <v>0</v>
      </c>
      <c r="AG72" s="1423">
        <v>142.02000000000001</v>
      </c>
      <c r="AH72" s="1423">
        <f t="shared" si="26"/>
        <v>0</v>
      </c>
      <c r="AI72" s="1434"/>
    </row>
    <row r="73" spans="1:35" s="1417" customFormat="1" ht="13.8">
      <c r="A73" s="2141"/>
      <c r="B73" s="1272" t="s">
        <v>2805</v>
      </c>
      <c r="C73" s="1262" t="s">
        <v>3534</v>
      </c>
      <c r="D73" s="1273"/>
      <c r="E73" s="1420"/>
      <c r="F73" s="1267"/>
      <c r="G73" s="1487"/>
      <c r="H73" s="1421"/>
      <c r="I73" s="1485">
        <f t="shared" si="21"/>
        <v>0</v>
      </c>
      <c r="J73" s="1485">
        <f t="shared" si="22"/>
        <v>0</v>
      </c>
      <c r="K73" s="1485"/>
      <c r="L73" s="1485">
        <f t="shared" si="27"/>
        <v>0</v>
      </c>
      <c r="M73" s="1485"/>
      <c r="N73" s="1485">
        <f t="shared" si="28"/>
        <v>0</v>
      </c>
      <c r="O73" s="1485">
        <f t="shared" si="29"/>
        <v>0</v>
      </c>
      <c r="P73" s="1485">
        <f t="shared" si="30"/>
        <v>0</v>
      </c>
      <c r="Q73" s="1485">
        <f t="shared" si="31"/>
        <v>0</v>
      </c>
      <c r="R73" s="1597">
        <f t="shared" si="32"/>
        <v>0</v>
      </c>
      <c r="S73" s="1425"/>
      <c r="T73" s="1232"/>
      <c r="U73" s="1479"/>
      <c r="V73" s="1232">
        <f t="shared" si="33"/>
        <v>0</v>
      </c>
      <c r="W73" s="1425"/>
      <c r="X73" s="1366"/>
      <c r="Y73" s="1426" t="str">
        <f t="shared" si="35"/>
        <v/>
      </c>
      <c r="Z73" s="1427"/>
      <c r="AA73" s="1234">
        <f t="shared" si="36"/>
        <v>0</v>
      </c>
      <c r="AB73" s="1428" t="str">
        <f t="shared" si="37"/>
        <v/>
      </c>
      <c r="AC73" s="1423">
        <f t="shared" si="23"/>
        <v>0</v>
      </c>
      <c r="AD73" s="1423">
        <f t="shared" si="24"/>
        <v>0</v>
      </c>
      <c r="AE73" s="1423"/>
      <c r="AF73" s="1423">
        <f t="shared" si="25"/>
        <v>0</v>
      </c>
      <c r="AG73" s="1423"/>
      <c r="AH73" s="1423">
        <f t="shared" si="26"/>
        <v>0</v>
      </c>
      <c r="AI73" s="1434"/>
    </row>
    <row r="74" spans="1:35" s="1417" customFormat="1" ht="13.8">
      <c r="A74" s="2141"/>
      <c r="B74" s="1268" t="s">
        <v>2806</v>
      </c>
      <c r="C74" s="1241" t="s">
        <v>3550</v>
      </c>
      <c r="D74" s="1245" t="s">
        <v>36</v>
      </c>
      <c r="E74" s="1418">
        <v>50</v>
      </c>
      <c r="F74" s="1575">
        <v>216.08</v>
      </c>
      <c r="G74" s="1487">
        <v>217.6</v>
      </c>
      <c r="H74" s="1419">
        <v>218.41</v>
      </c>
      <c r="I74" s="1485">
        <f t="shared" si="21"/>
        <v>10804</v>
      </c>
      <c r="J74" s="1485">
        <f t="shared" si="22"/>
        <v>10880</v>
      </c>
      <c r="K74" s="1485">
        <v>0</v>
      </c>
      <c r="L74" s="1485">
        <f t="shared" si="27"/>
        <v>0</v>
      </c>
      <c r="M74" s="1485">
        <v>50</v>
      </c>
      <c r="N74" s="1485">
        <f t="shared" si="28"/>
        <v>50</v>
      </c>
      <c r="O74" s="1485">
        <f t="shared" si="29"/>
        <v>0</v>
      </c>
      <c r="P74" s="1485">
        <f t="shared" si="30"/>
        <v>10880</v>
      </c>
      <c r="Q74" s="1485">
        <f t="shared" si="31"/>
        <v>10920.5</v>
      </c>
      <c r="R74" s="1597">
        <f t="shared" si="32"/>
        <v>10920.5</v>
      </c>
      <c r="S74" s="1425">
        <v>0</v>
      </c>
      <c r="T74" s="1232">
        <v>0</v>
      </c>
      <c r="U74" s="1479"/>
      <c r="V74" s="1232">
        <f t="shared" si="33"/>
        <v>0</v>
      </c>
      <c r="W74" s="1425">
        <f t="shared" ref="W74:W82" si="38">S74+U74</f>
        <v>0</v>
      </c>
      <c r="X74" s="1366">
        <f t="shared" si="34"/>
        <v>0</v>
      </c>
      <c r="Y74" s="1426">
        <f t="shared" si="35"/>
        <v>0</v>
      </c>
      <c r="Z74" s="1427">
        <f t="shared" ref="Z74:Z82" si="39">+E74-W74</f>
        <v>50</v>
      </c>
      <c r="AA74" s="1234">
        <f t="shared" si="36"/>
        <v>10920.5</v>
      </c>
      <c r="AB74" s="1428">
        <f t="shared" si="37"/>
        <v>1</v>
      </c>
      <c r="AC74" s="1423">
        <f t="shared" si="23"/>
        <v>0</v>
      </c>
      <c r="AD74" s="1423">
        <f t="shared" si="24"/>
        <v>0</v>
      </c>
      <c r="AE74" s="1423">
        <v>10920.5</v>
      </c>
      <c r="AF74" s="1423">
        <f t="shared" si="25"/>
        <v>0</v>
      </c>
      <c r="AG74" s="1423">
        <v>218.41</v>
      </c>
      <c r="AH74" s="1423">
        <f t="shared" si="26"/>
        <v>0</v>
      </c>
      <c r="AI74" s="1434"/>
    </row>
    <row r="75" spans="1:35" s="1417" customFormat="1" ht="13.8">
      <c r="A75" s="2141"/>
      <c r="B75" s="1268" t="s">
        <v>2807</v>
      </c>
      <c r="C75" s="1241" t="s">
        <v>3551</v>
      </c>
      <c r="D75" s="1245" t="s">
        <v>36</v>
      </c>
      <c r="E75" s="1418">
        <v>7</v>
      </c>
      <c r="F75" s="1575">
        <v>183.09</v>
      </c>
      <c r="G75" s="1487">
        <v>184.61</v>
      </c>
      <c r="H75" s="1419">
        <v>185.42</v>
      </c>
      <c r="I75" s="1485">
        <f t="shared" si="21"/>
        <v>1281.6300000000001</v>
      </c>
      <c r="J75" s="1485">
        <f t="shared" si="22"/>
        <v>1292.27</v>
      </c>
      <c r="K75" s="1485">
        <v>0</v>
      </c>
      <c r="L75" s="1485">
        <f t="shared" si="27"/>
        <v>0</v>
      </c>
      <c r="M75" s="1485">
        <v>7</v>
      </c>
      <c r="N75" s="1485">
        <f t="shared" si="28"/>
        <v>7</v>
      </c>
      <c r="O75" s="1485">
        <f t="shared" si="29"/>
        <v>0</v>
      </c>
      <c r="P75" s="1485">
        <f t="shared" si="30"/>
        <v>1292.27</v>
      </c>
      <c r="Q75" s="1485">
        <f t="shared" si="31"/>
        <v>1297.94</v>
      </c>
      <c r="R75" s="1597">
        <f t="shared" si="32"/>
        <v>1297.94</v>
      </c>
      <c r="S75" s="1425">
        <v>7</v>
      </c>
      <c r="T75" s="1232">
        <v>1297.9399999999998</v>
      </c>
      <c r="U75" s="1479"/>
      <c r="V75" s="1232">
        <f t="shared" si="33"/>
        <v>0</v>
      </c>
      <c r="W75" s="1425">
        <f t="shared" si="38"/>
        <v>7</v>
      </c>
      <c r="X75" s="1366">
        <f t="shared" si="34"/>
        <v>1297.9399999999998</v>
      </c>
      <c r="Y75" s="1426">
        <f t="shared" si="35"/>
        <v>0.99999999999999978</v>
      </c>
      <c r="Z75" s="1427">
        <f t="shared" si="39"/>
        <v>0</v>
      </c>
      <c r="AA75" s="1234">
        <f t="shared" si="36"/>
        <v>0</v>
      </c>
      <c r="AB75" s="1428">
        <f t="shared" si="37"/>
        <v>0</v>
      </c>
      <c r="AC75" s="1423">
        <f t="shared" si="23"/>
        <v>2.2737367544323206E-13</v>
      </c>
      <c r="AD75" s="1423">
        <f t="shared" si="24"/>
        <v>0</v>
      </c>
      <c r="AE75" s="1423">
        <v>1297.9399999999998</v>
      </c>
      <c r="AF75" s="1423">
        <f t="shared" si="25"/>
        <v>0</v>
      </c>
      <c r="AG75" s="1423">
        <v>185.42</v>
      </c>
      <c r="AH75" s="1423">
        <f t="shared" si="26"/>
        <v>0</v>
      </c>
      <c r="AI75" s="1434"/>
    </row>
    <row r="76" spans="1:35" s="1417" customFormat="1" ht="13.8">
      <c r="A76" s="2141"/>
      <c r="B76" s="1268" t="s">
        <v>2808</v>
      </c>
      <c r="C76" s="1241" t="s">
        <v>3552</v>
      </c>
      <c r="D76" s="1245" t="s">
        <v>36</v>
      </c>
      <c r="E76" s="1418">
        <v>44</v>
      </c>
      <c r="F76" s="1575">
        <v>183.09</v>
      </c>
      <c r="G76" s="1487">
        <v>184.61</v>
      </c>
      <c r="H76" s="1419">
        <v>185.42</v>
      </c>
      <c r="I76" s="1485">
        <f t="shared" si="21"/>
        <v>8055.96</v>
      </c>
      <c r="J76" s="1485">
        <f t="shared" si="22"/>
        <v>8122.84</v>
      </c>
      <c r="K76" s="1485">
        <v>0</v>
      </c>
      <c r="L76" s="1485">
        <f t="shared" si="27"/>
        <v>0</v>
      </c>
      <c r="M76" s="1485">
        <v>44</v>
      </c>
      <c r="N76" s="1485">
        <f t="shared" si="28"/>
        <v>44</v>
      </c>
      <c r="O76" s="1485">
        <f t="shared" si="29"/>
        <v>0</v>
      </c>
      <c r="P76" s="1485">
        <f t="shared" si="30"/>
        <v>8122.84</v>
      </c>
      <c r="Q76" s="1485">
        <f t="shared" si="31"/>
        <v>8158.48</v>
      </c>
      <c r="R76" s="1597">
        <f t="shared" si="32"/>
        <v>8158.48</v>
      </c>
      <c r="S76" s="1425">
        <v>10</v>
      </c>
      <c r="T76" s="1232">
        <v>1854.1999999999998</v>
      </c>
      <c r="U76" s="1479"/>
      <c r="V76" s="1232">
        <f t="shared" si="33"/>
        <v>0</v>
      </c>
      <c r="W76" s="1425">
        <f t="shared" si="38"/>
        <v>10</v>
      </c>
      <c r="X76" s="1366">
        <f t="shared" si="34"/>
        <v>1854.1999999999998</v>
      </c>
      <c r="Y76" s="1426">
        <f t="shared" si="35"/>
        <v>0.22727272727272727</v>
      </c>
      <c r="Z76" s="1427">
        <f t="shared" si="39"/>
        <v>34</v>
      </c>
      <c r="AA76" s="1234">
        <f t="shared" si="36"/>
        <v>6304.28</v>
      </c>
      <c r="AB76" s="1428">
        <f t="shared" si="37"/>
        <v>0.77272727272727271</v>
      </c>
      <c r="AC76" s="1423">
        <f t="shared" si="23"/>
        <v>0</v>
      </c>
      <c r="AD76" s="1423">
        <f t="shared" si="24"/>
        <v>0</v>
      </c>
      <c r="AE76" s="1423">
        <v>8158.48</v>
      </c>
      <c r="AF76" s="1423">
        <f t="shared" si="25"/>
        <v>0</v>
      </c>
      <c r="AG76" s="1423">
        <v>185.42</v>
      </c>
      <c r="AH76" s="1423">
        <f t="shared" si="26"/>
        <v>0</v>
      </c>
      <c r="AI76" s="1434"/>
    </row>
    <row r="77" spans="1:35" s="1417" customFormat="1" ht="13.8">
      <c r="A77" s="2141"/>
      <c r="B77" s="1268" t="s">
        <v>2809</v>
      </c>
      <c r="C77" s="1241" t="s">
        <v>3553</v>
      </c>
      <c r="D77" s="1245" t="s">
        <v>36</v>
      </c>
      <c r="E77" s="1418">
        <v>18</v>
      </c>
      <c r="F77" s="1575">
        <v>199.59</v>
      </c>
      <c r="G77" s="1487">
        <v>201.11</v>
      </c>
      <c r="H77" s="1419">
        <v>201.92</v>
      </c>
      <c r="I77" s="1485">
        <f t="shared" si="21"/>
        <v>3592.62</v>
      </c>
      <c r="J77" s="1485">
        <f t="shared" si="22"/>
        <v>3619.98</v>
      </c>
      <c r="K77" s="1485">
        <v>0</v>
      </c>
      <c r="L77" s="1485">
        <f t="shared" si="27"/>
        <v>0</v>
      </c>
      <c r="M77" s="1485">
        <v>18</v>
      </c>
      <c r="N77" s="1485">
        <f t="shared" si="28"/>
        <v>18</v>
      </c>
      <c r="O77" s="1485">
        <f t="shared" si="29"/>
        <v>0</v>
      </c>
      <c r="P77" s="1485">
        <f t="shared" si="30"/>
        <v>3619.98</v>
      </c>
      <c r="Q77" s="1485">
        <f t="shared" si="31"/>
        <v>3634.56</v>
      </c>
      <c r="R77" s="1597">
        <f t="shared" si="32"/>
        <v>3634.56</v>
      </c>
      <c r="S77" s="1425">
        <v>18</v>
      </c>
      <c r="T77" s="1232">
        <v>3634.56</v>
      </c>
      <c r="U77" s="1479"/>
      <c r="V77" s="1232">
        <f t="shared" si="33"/>
        <v>0</v>
      </c>
      <c r="W77" s="1425">
        <f t="shared" si="38"/>
        <v>18</v>
      </c>
      <c r="X77" s="1366">
        <f t="shared" si="34"/>
        <v>3634.56</v>
      </c>
      <c r="Y77" s="1426">
        <f t="shared" si="35"/>
        <v>1</v>
      </c>
      <c r="Z77" s="1427">
        <f t="shared" si="39"/>
        <v>0</v>
      </c>
      <c r="AA77" s="1234">
        <f t="shared" si="36"/>
        <v>0</v>
      </c>
      <c r="AB77" s="1428">
        <f t="shared" si="37"/>
        <v>0</v>
      </c>
      <c r="AC77" s="1423">
        <f t="shared" si="23"/>
        <v>0</v>
      </c>
      <c r="AD77" s="1423">
        <f t="shared" si="24"/>
        <v>0</v>
      </c>
      <c r="AE77" s="1423">
        <v>3625.56</v>
      </c>
      <c r="AF77" s="1423">
        <f t="shared" si="25"/>
        <v>-9</v>
      </c>
      <c r="AG77" s="1423">
        <v>201.42</v>
      </c>
      <c r="AH77" s="1423">
        <f t="shared" si="26"/>
        <v>-0.5</v>
      </c>
      <c r="AI77" s="1434"/>
    </row>
    <row r="78" spans="1:35" s="1417" customFormat="1" ht="13.8">
      <c r="A78" s="2141"/>
      <c r="B78" s="1268" t="s">
        <v>2810</v>
      </c>
      <c r="C78" s="1241" t="s">
        <v>3554</v>
      </c>
      <c r="D78" s="1245" t="s">
        <v>36</v>
      </c>
      <c r="E78" s="1418">
        <v>4</v>
      </c>
      <c r="F78" s="1575">
        <v>217.73</v>
      </c>
      <c r="G78" s="1487">
        <v>219.25</v>
      </c>
      <c r="H78" s="1419">
        <v>220.06</v>
      </c>
      <c r="I78" s="1485">
        <f t="shared" si="21"/>
        <v>870.92</v>
      </c>
      <c r="J78" s="1485">
        <f t="shared" si="22"/>
        <v>877</v>
      </c>
      <c r="K78" s="1485">
        <v>0</v>
      </c>
      <c r="L78" s="1485">
        <f t="shared" si="27"/>
        <v>0</v>
      </c>
      <c r="M78" s="1485">
        <v>4</v>
      </c>
      <c r="N78" s="1485">
        <f t="shared" si="28"/>
        <v>4</v>
      </c>
      <c r="O78" s="1485">
        <f t="shared" si="29"/>
        <v>0</v>
      </c>
      <c r="P78" s="1485">
        <f t="shared" si="30"/>
        <v>877</v>
      </c>
      <c r="Q78" s="1485">
        <f t="shared" si="31"/>
        <v>880.24</v>
      </c>
      <c r="R78" s="1597">
        <f t="shared" si="32"/>
        <v>880.24</v>
      </c>
      <c r="S78" s="1425">
        <v>0</v>
      </c>
      <c r="T78" s="1232">
        <v>0</v>
      </c>
      <c r="U78" s="1479"/>
      <c r="V78" s="1232">
        <f t="shared" si="33"/>
        <v>0</v>
      </c>
      <c r="W78" s="1425">
        <f t="shared" si="38"/>
        <v>0</v>
      </c>
      <c r="X78" s="1366">
        <f t="shared" si="34"/>
        <v>0</v>
      </c>
      <c r="Y78" s="1426">
        <f t="shared" si="35"/>
        <v>0</v>
      </c>
      <c r="Z78" s="1427">
        <f t="shared" si="39"/>
        <v>4</v>
      </c>
      <c r="AA78" s="1234">
        <f t="shared" si="36"/>
        <v>880.24</v>
      </c>
      <c r="AB78" s="1428">
        <f t="shared" si="37"/>
        <v>1</v>
      </c>
      <c r="AC78" s="1423">
        <f t="shared" si="23"/>
        <v>0</v>
      </c>
      <c r="AD78" s="1423">
        <f t="shared" si="24"/>
        <v>0</v>
      </c>
      <c r="AE78" s="1423">
        <v>880.24</v>
      </c>
      <c r="AF78" s="1423">
        <f t="shared" si="25"/>
        <v>0</v>
      </c>
      <c r="AG78" s="1423">
        <v>220.06</v>
      </c>
      <c r="AH78" s="1423">
        <f t="shared" si="26"/>
        <v>0</v>
      </c>
      <c r="AI78" s="1434"/>
    </row>
    <row r="79" spans="1:35" s="1417" customFormat="1" ht="13.8">
      <c r="A79" s="2141"/>
      <c r="B79" s="1268" t="s">
        <v>2811</v>
      </c>
      <c r="C79" s="1241" t="s">
        <v>3555</v>
      </c>
      <c r="D79" s="1245" t="s">
        <v>36</v>
      </c>
      <c r="E79" s="1418">
        <v>2</v>
      </c>
      <c r="F79" s="1575">
        <v>117.08</v>
      </c>
      <c r="G79" s="1487">
        <v>118.6</v>
      </c>
      <c r="H79" s="1419">
        <v>119.41</v>
      </c>
      <c r="I79" s="1485">
        <f t="shared" si="21"/>
        <v>234.16</v>
      </c>
      <c r="J79" s="1485">
        <f t="shared" si="22"/>
        <v>237.2</v>
      </c>
      <c r="K79" s="1485">
        <v>0</v>
      </c>
      <c r="L79" s="1485">
        <f t="shared" si="27"/>
        <v>0</v>
      </c>
      <c r="M79" s="1485">
        <v>2</v>
      </c>
      <c r="N79" s="1485">
        <f t="shared" si="28"/>
        <v>2</v>
      </c>
      <c r="O79" s="1485">
        <f t="shared" si="29"/>
        <v>0</v>
      </c>
      <c r="P79" s="1485">
        <f t="shared" si="30"/>
        <v>237.2</v>
      </c>
      <c r="Q79" s="1485">
        <f t="shared" si="31"/>
        <v>238.82</v>
      </c>
      <c r="R79" s="1597">
        <f t="shared" si="32"/>
        <v>238.82</v>
      </c>
      <c r="S79" s="1425">
        <v>0</v>
      </c>
      <c r="T79" s="1232">
        <v>0</v>
      </c>
      <c r="U79" s="1479"/>
      <c r="V79" s="1232">
        <f t="shared" si="33"/>
        <v>0</v>
      </c>
      <c r="W79" s="1425">
        <f t="shared" si="38"/>
        <v>0</v>
      </c>
      <c r="X79" s="1366">
        <f t="shared" si="34"/>
        <v>0</v>
      </c>
      <c r="Y79" s="1426">
        <f t="shared" si="35"/>
        <v>0</v>
      </c>
      <c r="Z79" s="1427">
        <f t="shared" si="39"/>
        <v>2</v>
      </c>
      <c r="AA79" s="1234">
        <f t="shared" si="36"/>
        <v>238.82</v>
      </c>
      <c r="AB79" s="1428">
        <f t="shared" si="37"/>
        <v>1</v>
      </c>
      <c r="AC79" s="1423">
        <f t="shared" si="23"/>
        <v>0</v>
      </c>
      <c r="AD79" s="1423">
        <f t="shared" si="24"/>
        <v>0</v>
      </c>
      <c r="AE79" s="1423">
        <v>238.82</v>
      </c>
      <c r="AF79" s="1423">
        <f t="shared" si="25"/>
        <v>0</v>
      </c>
      <c r="AG79" s="1423">
        <v>119.41</v>
      </c>
      <c r="AH79" s="1423">
        <f t="shared" si="26"/>
        <v>0</v>
      </c>
      <c r="AI79" s="1434"/>
    </row>
    <row r="80" spans="1:35" s="1417" customFormat="1" ht="13.8">
      <c r="A80" s="2141"/>
      <c r="B80" s="1268" t="s">
        <v>2812</v>
      </c>
      <c r="C80" s="1241" t="s">
        <v>3556</v>
      </c>
      <c r="D80" s="1245" t="s">
        <v>36</v>
      </c>
      <c r="E80" s="1418">
        <v>2</v>
      </c>
      <c r="F80" s="1575">
        <v>161.08000000000001</v>
      </c>
      <c r="G80" s="1487">
        <v>162.6</v>
      </c>
      <c r="H80" s="1419">
        <v>163.41</v>
      </c>
      <c r="I80" s="1485">
        <f t="shared" si="21"/>
        <v>322.16000000000003</v>
      </c>
      <c r="J80" s="1485">
        <f t="shared" si="22"/>
        <v>325.2</v>
      </c>
      <c r="K80" s="1485">
        <v>0</v>
      </c>
      <c r="L80" s="1485">
        <f t="shared" si="27"/>
        <v>0</v>
      </c>
      <c r="M80" s="1485">
        <v>2</v>
      </c>
      <c r="N80" s="1485">
        <f t="shared" si="28"/>
        <v>2</v>
      </c>
      <c r="O80" s="1485">
        <f t="shared" si="29"/>
        <v>0</v>
      </c>
      <c r="P80" s="1485">
        <f t="shared" si="30"/>
        <v>325.2</v>
      </c>
      <c r="Q80" s="1485">
        <f t="shared" si="31"/>
        <v>326.82</v>
      </c>
      <c r="R80" s="1597">
        <f t="shared" si="32"/>
        <v>326.82</v>
      </c>
      <c r="S80" s="1425">
        <v>0</v>
      </c>
      <c r="T80" s="1232">
        <v>0</v>
      </c>
      <c r="U80" s="1479"/>
      <c r="V80" s="1232">
        <f t="shared" si="33"/>
        <v>0</v>
      </c>
      <c r="W80" s="1425">
        <f t="shared" si="38"/>
        <v>0</v>
      </c>
      <c r="X80" s="1366">
        <f t="shared" si="34"/>
        <v>0</v>
      </c>
      <c r="Y80" s="1426">
        <f t="shared" si="35"/>
        <v>0</v>
      </c>
      <c r="Z80" s="1427">
        <f t="shared" si="39"/>
        <v>2</v>
      </c>
      <c r="AA80" s="1234">
        <f t="shared" si="36"/>
        <v>326.82</v>
      </c>
      <c r="AB80" s="1428">
        <f t="shared" si="37"/>
        <v>1</v>
      </c>
      <c r="AC80" s="1423">
        <f t="shared" si="23"/>
        <v>0</v>
      </c>
      <c r="AD80" s="1423">
        <f t="shared" si="24"/>
        <v>0</v>
      </c>
      <c r="AE80" s="1423">
        <v>326.82</v>
      </c>
      <c r="AF80" s="1423">
        <f t="shared" si="25"/>
        <v>0</v>
      </c>
      <c r="AG80" s="1423">
        <v>163.41</v>
      </c>
      <c r="AH80" s="1423">
        <f t="shared" si="26"/>
        <v>0</v>
      </c>
      <c r="AI80" s="1434"/>
    </row>
    <row r="81" spans="1:42" s="1417" customFormat="1" ht="13.8">
      <c r="A81" s="2141"/>
      <c r="B81" s="1268" t="s">
        <v>2813</v>
      </c>
      <c r="C81" s="1241" t="s">
        <v>3557</v>
      </c>
      <c r="D81" s="1245" t="s">
        <v>36</v>
      </c>
      <c r="E81" s="1418">
        <v>50</v>
      </c>
      <c r="F81" s="1575">
        <v>16.8</v>
      </c>
      <c r="G81" s="1487">
        <v>16.87</v>
      </c>
      <c r="H81" s="1419">
        <v>16.91</v>
      </c>
      <c r="I81" s="1485">
        <f t="shared" si="21"/>
        <v>840</v>
      </c>
      <c r="J81" s="1485">
        <f t="shared" si="22"/>
        <v>843.5</v>
      </c>
      <c r="K81" s="1485">
        <v>0</v>
      </c>
      <c r="L81" s="1485">
        <f t="shared" si="27"/>
        <v>0</v>
      </c>
      <c r="M81" s="1485">
        <v>50</v>
      </c>
      <c r="N81" s="1485">
        <f t="shared" si="28"/>
        <v>50</v>
      </c>
      <c r="O81" s="1485">
        <f t="shared" si="29"/>
        <v>0</v>
      </c>
      <c r="P81" s="1485">
        <f t="shared" si="30"/>
        <v>843.5</v>
      </c>
      <c r="Q81" s="1485">
        <f t="shared" si="31"/>
        <v>845.5</v>
      </c>
      <c r="R81" s="1597">
        <f t="shared" si="32"/>
        <v>845.5</v>
      </c>
      <c r="S81" s="1425">
        <v>0</v>
      </c>
      <c r="T81" s="1232">
        <v>0</v>
      </c>
      <c r="U81" s="1479"/>
      <c r="V81" s="1232">
        <f t="shared" si="33"/>
        <v>0</v>
      </c>
      <c r="W81" s="1425">
        <f t="shared" si="38"/>
        <v>0</v>
      </c>
      <c r="X81" s="1366">
        <f t="shared" si="34"/>
        <v>0</v>
      </c>
      <c r="Y81" s="1426">
        <f t="shared" si="35"/>
        <v>0</v>
      </c>
      <c r="Z81" s="1427">
        <f t="shared" si="39"/>
        <v>50</v>
      </c>
      <c r="AA81" s="1234">
        <f t="shared" si="36"/>
        <v>845.5</v>
      </c>
      <c r="AB81" s="1428">
        <f t="shared" si="37"/>
        <v>1</v>
      </c>
      <c r="AC81" s="1423">
        <f t="shared" si="23"/>
        <v>0</v>
      </c>
      <c r="AD81" s="1423">
        <f t="shared" si="24"/>
        <v>0</v>
      </c>
      <c r="AE81" s="1423">
        <v>845.5</v>
      </c>
      <c r="AF81" s="1423">
        <f t="shared" si="25"/>
        <v>0</v>
      </c>
      <c r="AG81" s="1423">
        <v>16.91</v>
      </c>
      <c r="AH81" s="1423">
        <f t="shared" si="26"/>
        <v>0</v>
      </c>
      <c r="AI81" s="1434"/>
    </row>
    <row r="82" spans="1:42" s="1417" customFormat="1" ht="13.8">
      <c r="A82" s="2141"/>
      <c r="B82" s="1268" t="s">
        <v>2814</v>
      </c>
      <c r="C82" s="1241" t="s">
        <v>3558</v>
      </c>
      <c r="D82" s="1245" t="s">
        <v>36</v>
      </c>
      <c r="E82" s="1418">
        <v>220</v>
      </c>
      <c r="F82" s="1575">
        <v>24.45</v>
      </c>
      <c r="G82" s="1487">
        <v>24.52</v>
      </c>
      <c r="H82" s="1419">
        <v>24.56</v>
      </c>
      <c r="I82" s="1485">
        <f t="shared" si="21"/>
        <v>5379</v>
      </c>
      <c r="J82" s="1485">
        <f t="shared" si="22"/>
        <v>5394.4</v>
      </c>
      <c r="K82" s="1485">
        <v>0</v>
      </c>
      <c r="L82" s="1485">
        <f t="shared" si="27"/>
        <v>0</v>
      </c>
      <c r="M82" s="1485">
        <v>220</v>
      </c>
      <c r="N82" s="1485">
        <f t="shared" si="28"/>
        <v>220</v>
      </c>
      <c r="O82" s="1485">
        <f t="shared" si="29"/>
        <v>0</v>
      </c>
      <c r="P82" s="1485">
        <f t="shared" si="30"/>
        <v>5394.4</v>
      </c>
      <c r="Q82" s="1485">
        <f t="shared" si="31"/>
        <v>5403.2</v>
      </c>
      <c r="R82" s="1597">
        <f t="shared" si="32"/>
        <v>5403.2</v>
      </c>
      <c r="S82" s="1425">
        <v>0</v>
      </c>
      <c r="T82" s="1232">
        <v>0</v>
      </c>
      <c r="U82" s="1479"/>
      <c r="V82" s="1232">
        <f t="shared" si="33"/>
        <v>0</v>
      </c>
      <c r="W82" s="1425">
        <f t="shared" si="38"/>
        <v>0</v>
      </c>
      <c r="X82" s="1366">
        <f t="shared" si="34"/>
        <v>0</v>
      </c>
      <c r="Y82" s="1426">
        <f t="shared" si="35"/>
        <v>0</v>
      </c>
      <c r="Z82" s="1427">
        <f t="shared" si="39"/>
        <v>220</v>
      </c>
      <c r="AA82" s="1234">
        <f t="shared" si="36"/>
        <v>5403.2</v>
      </c>
      <c r="AB82" s="1428">
        <f t="shared" si="37"/>
        <v>1</v>
      </c>
      <c r="AC82" s="1423">
        <f t="shared" si="23"/>
        <v>0</v>
      </c>
      <c r="AD82" s="1423">
        <f t="shared" si="24"/>
        <v>0</v>
      </c>
      <c r="AE82" s="1423">
        <v>5403.2</v>
      </c>
      <c r="AF82" s="1423">
        <f t="shared" si="25"/>
        <v>0</v>
      </c>
      <c r="AG82" s="1423">
        <v>24.56</v>
      </c>
      <c r="AH82" s="1423">
        <f t="shared" si="26"/>
        <v>0</v>
      </c>
      <c r="AI82" s="1434"/>
    </row>
    <row r="83" spans="1:42" s="1231" customFormat="1" ht="13.8">
      <c r="A83" s="2142"/>
      <c r="B83" s="1263" t="s">
        <v>2078</v>
      </c>
      <c r="C83" s="1264" t="s">
        <v>3559</v>
      </c>
      <c r="D83" s="1265"/>
      <c r="E83" s="1266"/>
      <c r="F83" s="1267"/>
      <c r="G83" s="1487"/>
      <c r="H83" s="1267"/>
      <c r="I83" s="1485">
        <f t="shared" si="21"/>
        <v>0</v>
      </c>
      <c r="J83" s="1485">
        <f t="shared" si="22"/>
        <v>0</v>
      </c>
      <c r="K83" s="1485"/>
      <c r="L83" s="1485">
        <f t="shared" si="27"/>
        <v>0</v>
      </c>
      <c r="M83" s="1485"/>
      <c r="N83" s="1485">
        <f t="shared" si="28"/>
        <v>0</v>
      </c>
      <c r="O83" s="1485">
        <f t="shared" si="29"/>
        <v>0</v>
      </c>
      <c r="P83" s="1485">
        <f t="shared" si="30"/>
        <v>0</v>
      </c>
      <c r="Q83" s="1485">
        <f t="shared" si="31"/>
        <v>0</v>
      </c>
      <c r="R83" s="1597"/>
      <c r="S83" s="1233"/>
      <c r="T83" s="1232"/>
      <c r="U83" s="1479"/>
      <c r="V83" s="1232"/>
      <c r="W83" s="1233"/>
      <c r="X83" s="1366"/>
      <c r="Y83" s="1426" t="str">
        <f t="shared" si="35"/>
        <v/>
      </c>
      <c r="Z83" s="1427"/>
      <c r="AA83" s="1234"/>
      <c r="AB83" s="1428" t="str">
        <f t="shared" si="37"/>
        <v/>
      </c>
      <c r="AC83" s="1423">
        <f t="shared" si="23"/>
        <v>0</v>
      </c>
      <c r="AD83" s="1423">
        <f t="shared" si="24"/>
        <v>0</v>
      </c>
      <c r="AE83" s="1230"/>
      <c r="AF83" s="1230">
        <f t="shared" si="25"/>
        <v>0</v>
      </c>
      <c r="AG83" s="1230"/>
      <c r="AH83" s="1423">
        <f t="shared" si="26"/>
        <v>0</v>
      </c>
      <c r="AI83" s="1349"/>
    </row>
    <row r="84" spans="1:42" s="1417" customFormat="1" ht="13.8">
      <c r="A84" s="2141"/>
      <c r="B84" s="1272" t="s">
        <v>2079</v>
      </c>
      <c r="C84" s="1262" t="s">
        <v>3502</v>
      </c>
      <c r="D84" s="1273"/>
      <c r="E84" s="1420"/>
      <c r="F84" s="1267"/>
      <c r="G84" s="1487"/>
      <c r="H84" s="1421"/>
      <c r="I84" s="1485">
        <f t="shared" si="21"/>
        <v>0</v>
      </c>
      <c r="J84" s="1485">
        <f t="shared" si="22"/>
        <v>0</v>
      </c>
      <c r="K84" s="1485"/>
      <c r="L84" s="1485">
        <f t="shared" si="27"/>
        <v>0</v>
      </c>
      <c r="M84" s="1485"/>
      <c r="N84" s="1485">
        <f t="shared" si="28"/>
        <v>0</v>
      </c>
      <c r="O84" s="1485">
        <f t="shared" si="29"/>
        <v>0</v>
      </c>
      <c r="P84" s="1485">
        <f t="shared" si="30"/>
        <v>0</v>
      </c>
      <c r="Q84" s="1485">
        <f t="shared" si="31"/>
        <v>0</v>
      </c>
      <c r="R84" s="1597">
        <f t="shared" si="32"/>
        <v>0</v>
      </c>
      <c r="S84" s="1425"/>
      <c r="T84" s="1232"/>
      <c r="U84" s="1479"/>
      <c r="V84" s="1232">
        <f t="shared" si="33"/>
        <v>0</v>
      </c>
      <c r="W84" s="1425"/>
      <c r="X84" s="1366"/>
      <c r="Y84" s="1426" t="str">
        <f t="shared" si="35"/>
        <v/>
      </c>
      <c r="Z84" s="1427"/>
      <c r="AA84" s="1234">
        <f t="shared" si="36"/>
        <v>0</v>
      </c>
      <c r="AB84" s="1428" t="str">
        <f t="shared" si="37"/>
        <v/>
      </c>
      <c r="AC84" s="1423">
        <f t="shared" si="23"/>
        <v>0</v>
      </c>
      <c r="AD84" s="1423">
        <f t="shared" si="24"/>
        <v>0</v>
      </c>
      <c r="AE84" s="1423"/>
      <c r="AF84" s="1423">
        <f t="shared" si="25"/>
        <v>0</v>
      </c>
      <c r="AG84" s="1423"/>
      <c r="AH84" s="1423">
        <f t="shared" si="26"/>
        <v>0</v>
      </c>
      <c r="AI84" s="1434"/>
    </row>
    <row r="85" spans="1:42" s="1417" customFormat="1" ht="13.8">
      <c r="A85" s="2141"/>
      <c r="B85" s="1268" t="s">
        <v>2080</v>
      </c>
      <c r="C85" s="1241" t="s">
        <v>3544</v>
      </c>
      <c r="D85" s="1245" t="s">
        <v>38</v>
      </c>
      <c r="E85" s="1418">
        <v>1590</v>
      </c>
      <c r="F85" s="1575">
        <v>6.03</v>
      </c>
      <c r="G85" s="1487">
        <v>6.34</v>
      </c>
      <c r="H85" s="1419">
        <v>6.52</v>
      </c>
      <c r="I85" s="1485">
        <f t="shared" si="21"/>
        <v>9587.7000000000007</v>
      </c>
      <c r="J85" s="1485">
        <f t="shared" si="22"/>
        <v>10080.6</v>
      </c>
      <c r="K85" s="1485">
        <v>213</v>
      </c>
      <c r="L85" s="1485">
        <f t="shared" si="27"/>
        <v>213</v>
      </c>
      <c r="M85" s="1485">
        <v>1377</v>
      </c>
      <c r="N85" s="1485">
        <f t="shared" si="28"/>
        <v>1377</v>
      </c>
      <c r="O85" s="1485">
        <f t="shared" si="29"/>
        <v>1350.42</v>
      </c>
      <c r="P85" s="1485">
        <f t="shared" si="30"/>
        <v>8730.18</v>
      </c>
      <c r="Q85" s="1485">
        <f t="shared" si="31"/>
        <v>8978.0400000000009</v>
      </c>
      <c r="R85" s="1597">
        <f t="shared" si="32"/>
        <v>10328.460000000001</v>
      </c>
      <c r="S85" s="1425">
        <v>959</v>
      </c>
      <c r="T85" s="1232">
        <v>6214.3399999999992</v>
      </c>
      <c r="U85" s="1479">
        <f>+[34]Hoja13!$O$79</f>
        <v>320</v>
      </c>
      <c r="V85" s="1232">
        <f t="shared" si="33"/>
        <v>2086.3999999999996</v>
      </c>
      <c r="W85" s="1425">
        <f>S85+U85</f>
        <v>1279</v>
      </c>
      <c r="X85" s="1366">
        <f t="shared" si="34"/>
        <v>8300.739999999998</v>
      </c>
      <c r="Y85" s="1426">
        <f t="shared" si="35"/>
        <v>0.8036764435356285</v>
      </c>
      <c r="Z85" s="1427">
        <f>+E85-W85</f>
        <v>311</v>
      </c>
      <c r="AA85" s="1234">
        <f t="shared" si="36"/>
        <v>2027.7199999999998</v>
      </c>
      <c r="AB85" s="1428">
        <f t="shared" si="37"/>
        <v>0.19632355646437122</v>
      </c>
      <c r="AC85" s="1423">
        <f t="shared" si="23"/>
        <v>3.1832314562052488E-12</v>
      </c>
      <c r="AD85" s="1423">
        <f t="shared" si="24"/>
        <v>0</v>
      </c>
      <c r="AE85" s="1423">
        <v>10328.459999999999</v>
      </c>
      <c r="AF85" s="1423">
        <f t="shared" si="25"/>
        <v>0</v>
      </c>
      <c r="AG85" s="1423">
        <v>6.52</v>
      </c>
      <c r="AH85" s="1423">
        <f t="shared" si="26"/>
        <v>0</v>
      </c>
      <c r="AI85" s="1434"/>
    </row>
    <row r="86" spans="1:42" s="1417" customFormat="1" ht="13.8">
      <c r="A86" s="2141"/>
      <c r="B86" s="1272" t="s">
        <v>2081</v>
      </c>
      <c r="C86" s="1262" t="s">
        <v>3546</v>
      </c>
      <c r="D86" s="1273"/>
      <c r="E86" s="1420"/>
      <c r="F86" s="1267"/>
      <c r="G86" s="1487"/>
      <c r="H86" s="1421"/>
      <c r="I86" s="1485">
        <f t="shared" si="21"/>
        <v>0</v>
      </c>
      <c r="J86" s="1485">
        <f t="shared" si="22"/>
        <v>0</v>
      </c>
      <c r="K86" s="1485"/>
      <c r="L86" s="1485">
        <f t="shared" si="27"/>
        <v>0</v>
      </c>
      <c r="M86" s="1485"/>
      <c r="N86" s="1485">
        <f t="shared" si="28"/>
        <v>0</v>
      </c>
      <c r="O86" s="1485">
        <f t="shared" si="29"/>
        <v>0</v>
      </c>
      <c r="P86" s="1485">
        <f t="shared" si="30"/>
        <v>0</v>
      </c>
      <c r="Q86" s="1485">
        <f t="shared" si="31"/>
        <v>0</v>
      </c>
      <c r="R86" s="1597">
        <f t="shared" si="32"/>
        <v>0</v>
      </c>
      <c r="S86" s="1425"/>
      <c r="T86" s="1232"/>
      <c r="U86" s="1479"/>
      <c r="V86" s="1232">
        <f t="shared" si="33"/>
        <v>0</v>
      </c>
      <c r="W86" s="1425"/>
      <c r="X86" s="1366"/>
      <c r="Y86" s="1426" t="str">
        <f t="shared" si="35"/>
        <v/>
      </c>
      <c r="Z86" s="1427"/>
      <c r="AA86" s="1234">
        <f t="shared" si="36"/>
        <v>0</v>
      </c>
      <c r="AB86" s="1428" t="str">
        <f t="shared" si="37"/>
        <v/>
      </c>
      <c r="AC86" s="1423">
        <f t="shared" si="23"/>
        <v>0</v>
      </c>
      <c r="AD86" s="1423">
        <f t="shared" si="24"/>
        <v>0</v>
      </c>
      <c r="AE86" s="1423"/>
      <c r="AF86" s="1423">
        <f t="shared" si="25"/>
        <v>0</v>
      </c>
      <c r="AG86" s="1423"/>
      <c r="AH86" s="1423">
        <f t="shared" si="26"/>
        <v>0</v>
      </c>
      <c r="AI86" s="1434"/>
    </row>
    <row r="87" spans="1:42" s="1417" customFormat="1" ht="13.8">
      <c r="A87" s="2141"/>
      <c r="B87" s="1268" t="s">
        <v>2082</v>
      </c>
      <c r="C87" s="1241" t="s">
        <v>3560</v>
      </c>
      <c r="D87" s="1245" t="s">
        <v>1452</v>
      </c>
      <c r="E87" s="1418">
        <v>72</v>
      </c>
      <c r="F87" s="1575">
        <v>58.57</v>
      </c>
      <c r="G87" s="1487">
        <v>62.45</v>
      </c>
      <c r="H87" s="1419">
        <v>64.44</v>
      </c>
      <c r="I87" s="1485">
        <f t="shared" si="21"/>
        <v>4217.04</v>
      </c>
      <c r="J87" s="1485">
        <f t="shared" si="22"/>
        <v>4496.3999999999996</v>
      </c>
      <c r="K87" s="1485">
        <v>0</v>
      </c>
      <c r="L87" s="1485">
        <f t="shared" si="27"/>
        <v>0</v>
      </c>
      <c r="M87" s="1485">
        <v>72</v>
      </c>
      <c r="N87" s="1485">
        <f t="shared" si="28"/>
        <v>72</v>
      </c>
      <c r="O87" s="1485">
        <f t="shared" si="29"/>
        <v>0</v>
      </c>
      <c r="P87" s="1485">
        <f t="shared" si="30"/>
        <v>4496.3999999999996</v>
      </c>
      <c r="Q87" s="1485">
        <f t="shared" si="31"/>
        <v>4639.68</v>
      </c>
      <c r="R87" s="1597">
        <f t="shared" si="32"/>
        <v>4639.68</v>
      </c>
      <c r="S87" s="1425">
        <v>72</v>
      </c>
      <c r="T87" s="1232">
        <v>4639.68</v>
      </c>
      <c r="U87" s="1479"/>
      <c r="V87" s="1232">
        <f t="shared" si="33"/>
        <v>0</v>
      </c>
      <c r="W87" s="1425">
        <f>S87+U87</f>
        <v>72</v>
      </c>
      <c r="X87" s="1366">
        <f t="shared" si="34"/>
        <v>4639.68</v>
      </c>
      <c r="Y87" s="1426">
        <f t="shared" si="35"/>
        <v>1</v>
      </c>
      <c r="Z87" s="1427">
        <f>+E87-W87</f>
        <v>0</v>
      </c>
      <c r="AA87" s="1234">
        <f t="shared" si="36"/>
        <v>0</v>
      </c>
      <c r="AB87" s="1428">
        <f t="shared" si="37"/>
        <v>0</v>
      </c>
      <c r="AC87" s="1423">
        <f t="shared" si="23"/>
        <v>0</v>
      </c>
      <c r="AD87" s="1423">
        <f t="shared" si="24"/>
        <v>0</v>
      </c>
      <c r="AE87" s="1423">
        <v>4639.68</v>
      </c>
      <c r="AF87" s="1423">
        <f t="shared" si="25"/>
        <v>0</v>
      </c>
      <c r="AG87" s="1423">
        <v>64.44</v>
      </c>
      <c r="AH87" s="1423">
        <f t="shared" si="26"/>
        <v>0</v>
      </c>
      <c r="AI87" s="1434"/>
    </row>
    <row r="88" spans="1:42" s="1417" customFormat="1" ht="13.8">
      <c r="A88" s="2141"/>
      <c r="B88" s="1268" t="s">
        <v>2086</v>
      </c>
      <c r="C88" s="1241" t="s">
        <v>3561</v>
      </c>
      <c r="D88" s="1245" t="s">
        <v>1452</v>
      </c>
      <c r="E88" s="1418">
        <v>29</v>
      </c>
      <c r="F88" s="1575">
        <v>58.57</v>
      </c>
      <c r="G88" s="1487">
        <v>62.45</v>
      </c>
      <c r="H88" s="1419">
        <v>64.44</v>
      </c>
      <c r="I88" s="1485">
        <f t="shared" si="21"/>
        <v>1698.53</v>
      </c>
      <c r="J88" s="1485">
        <f t="shared" si="22"/>
        <v>1811.05</v>
      </c>
      <c r="K88" s="1485">
        <v>0</v>
      </c>
      <c r="L88" s="1485">
        <f t="shared" si="27"/>
        <v>0</v>
      </c>
      <c r="M88" s="1485">
        <v>29</v>
      </c>
      <c r="N88" s="1485">
        <f t="shared" si="28"/>
        <v>29</v>
      </c>
      <c r="O88" s="1485">
        <f t="shared" si="29"/>
        <v>0</v>
      </c>
      <c r="P88" s="1485">
        <f t="shared" si="30"/>
        <v>1811.05</v>
      </c>
      <c r="Q88" s="1485">
        <f t="shared" si="31"/>
        <v>1868.76</v>
      </c>
      <c r="R88" s="1597">
        <f t="shared" si="32"/>
        <v>1868.76</v>
      </c>
      <c r="S88" s="1425">
        <v>29</v>
      </c>
      <c r="T88" s="1232">
        <v>1868.76</v>
      </c>
      <c r="U88" s="1479"/>
      <c r="V88" s="1232">
        <f t="shared" si="33"/>
        <v>0</v>
      </c>
      <c r="W88" s="1425">
        <f>S88+U88</f>
        <v>29</v>
      </c>
      <c r="X88" s="1366">
        <f t="shared" si="34"/>
        <v>1868.76</v>
      </c>
      <c r="Y88" s="1426">
        <f t="shared" si="35"/>
        <v>1</v>
      </c>
      <c r="Z88" s="1427">
        <f>+E88-W88</f>
        <v>0</v>
      </c>
      <c r="AA88" s="1234">
        <f t="shared" si="36"/>
        <v>0</v>
      </c>
      <c r="AB88" s="1428">
        <f t="shared" si="37"/>
        <v>0</v>
      </c>
      <c r="AC88" s="1423">
        <f t="shared" si="23"/>
        <v>0</v>
      </c>
      <c r="AD88" s="1423">
        <f t="shared" si="24"/>
        <v>0</v>
      </c>
      <c r="AE88" s="1423">
        <v>1868.76</v>
      </c>
      <c r="AF88" s="1423">
        <f t="shared" si="25"/>
        <v>0</v>
      </c>
      <c r="AG88" s="1423">
        <v>64.44</v>
      </c>
      <c r="AH88" s="1423">
        <f t="shared" si="26"/>
        <v>0</v>
      </c>
      <c r="AI88" s="1434"/>
      <c r="AO88" s="1417">
        <v>13</v>
      </c>
      <c r="AP88" s="1417" t="s">
        <v>4350</v>
      </c>
    </row>
    <row r="89" spans="1:42" s="1417" customFormat="1" ht="13.8">
      <c r="A89" s="2141"/>
      <c r="B89" s="1268" t="s">
        <v>2185</v>
      </c>
      <c r="C89" s="1241" t="s">
        <v>3562</v>
      </c>
      <c r="D89" s="1245" t="s">
        <v>1452</v>
      </c>
      <c r="E89" s="1418">
        <v>59</v>
      </c>
      <c r="F89" s="1575">
        <v>58.57</v>
      </c>
      <c r="G89" s="1487">
        <v>62.45</v>
      </c>
      <c r="H89" s="1419">
        <v>64.44</v>
      </c>
      <c r="I89" s="1485">
        <f t="shared" si="21"/>
        <v>3455.63</v>
      </c>
      <c r="J89" s="1485">
        <f t="shared" si="22"/>
        <v>3684.55</v>
      </c>
      <c r="K89" s="1485">
        <v>0</v>
      </c>
      <c r="L89" s="1485">
        <f t="shared" si="27"/>
        <v>0</v>
      </c>
      <c r="M89" s="1485">
        <v>59</v>
      </c>
      <c r="N89" s="1485">
        <f t="shared" si="28"/>
        <v>59</v>
      </c>
      <c r="O89" s="1485">
        <f t="shared" si="29"/>
        <v>0</v>
      </c>
      <c r="P89" s="1485">
        <f t="shared" si="30"/>
        <v>3684.55</v>
      </c>
      <c r="Q89" s="1485">
        <f t="shared" si="31"/>
        <v>3801.96</v>
      </c>
      <c r="R89" s="1597">
        <f t="shared" si="32"/>
        <v>3801.96</v>
      </c>
      <c r="S89" s="1425">
        <v>59</v>
      </c>
      <c r="T89" s="1232">
        <v>3801.96</v>
      </c>
      <c r="U89" s="1479"/>
      <c r="V89" s="1232">
        <f t="shared" si="33"/>
        <v>0</v>
      </c>
      <c r="W89" s="1425">
        <f>S89+U89</f>
        <v>59</v>
      </c>
      <c r="X89" s="1366">
        <f t="shared" si="34"/>
        <v>3801.96</v>
      </c>
      <c r="Y89" s="1426">
        <f t="shared" si="35"/>
        <v>1</v>
      </c>
      <c r="Z89" s="1427">
        <f>+E89-W89</f>
        <v>0</v>
      </c>
      <c r="AA89" s="1234">
        <f t="shared" si="36"/>
        <v>0</v>
      </c>
      <c r="AB89" s="1428">
        <f t="shared" si="37"/>
        <v>0</v>
      </c>
      <c r="AC89" s="1423">
        <f t="shared" si="23"/>
        <v>0</v>
      </c>
      <c r="AD89" s="1423">
        <f t="shared" si="24"/>
        <v>0</v>
      </c>
      <c r="AE89" s="1423">
        <v>3801.96</v>
      </c>
      <c r="AF89" s="1423">
        <f t="shared" si="25"/>
        <v>0</v>
      </c>
      <c r="AG89" s="1423">
        <v>64.44</v>
      </c>
      <c r="AH89" s="1423">
        <f t="shared" si="26"/>
        <v>0</v>
      </c>
      <c r="AI89" s="1434"/>
    </row>
    <row r="90" spans="1:42" s="1417" customFormat="1" ht="13.8">
      <c r="A90" s="2141"/>
      <c r="B90" s="1272" t="s">
        <v>2815</v>
      </c>
      <c r="C90" s="1262" t="s">
        <v>3520</v>
      </c>
      <c r="D90" s="1273"/>
      <c r="E90" s="1420"/>
      <c r="F90" s="1267"/>
      <c r="G90" s="1487"/>
      <c r="H90" s="1421"/>
      <c r="I90" s="1485">
        <f t="shared" si="21"/>
        <v>0</v>
      </c>
      <c r="J90" s="1485">
        <f t="shared" si="22"/>
        <v>0</v>
      </c>
      <c r="K90" s="1485"/>
      <c r="L90" s="1485">
        <f t="shared" si="27"/>
        <v>0</v>
      </c>
      <c r="M90" s="1485"/>
      <c r="N90" s="1485">
        <f t="shared" si="28"/>
        <v>0</v>
      </c>
      <c r="O90" s="1485">
        <f t="shared" si="29"/>
        <v>0</v>
      </c>
      <c r="P90" s="1485">
        <f t="shared" si="30"/>
        <v>0</v>
      </c>
      <c r="Q90" s="1485">
        <f t="shared" si="31"/>
        <v>0</v>
      </c>
      <c r="R90" s="1597">
        <f t="shared" si="32"/>
        <v>0</v>
      </c>
      <c r="S90" s="1425"/>
      <c r="T90" s="1232"/>
      <c r="U90" s="1479"/>
      <c r="V90" s="1232">
        <f t="shared" si="33"/>
        <v>0</v>
      </c>
      <c r="W90" s="1425"/>
      <c r="X90" s="1366"/>
      <c r="Y90" s="1426" t="str">
        <f t="shared" si="35"/>
        <v/>
      </c>
      <c r="Z90" s="1427"/>
      <c r="AA90" s="1234">
        <f t="shared" si="36"/>
        <v>0</v>
      </c>
      <c r="AB90" s="1428" t="str">
        <f t="shared" si="37"/>
        <v/>
      </c>
      <c r="AC90" s="1423">
        <f t="shared" si="23"/>
        <v>0</v>
      </c>
      <c r="AD90" s="1423">
        <f t="shared" si="24"/>
        <v>0</v>
      </c>
      <c r="AE90" s="1423"/>
      <c r="AF90" s="1423">
        <f t="shared" si="25"/>
        <v>0</v>
      </c>
      <c r="AG90" s="1423"/>
      <c r="AH90" s="1423">
        <f t="shared" si="26"/>
        <v>0</v>
      </c>
      <c r="AI90" s="1434"/>
    </row>
    <row r="91" spans="1:42" s="1417" customFormat="1" ht="13.8">
      <c r="A91" s="2141"/>
      <c r="B91" s="1268" t="s">
        <v>2816</v>
      </c>
      <c r="C91" s="1241" t="s">
        <v>3521</v>
      </c>
      <c r="D91" s="1245" t="s">
        <v>38</v>
      </c>
      <c r="E91" s="1418">
        <v>1660</v>
      </c>
      <c r="F91" s="1575">
        <v>6.61</v>
      </c>
      <c r="G91" s="1487">
        <v>7.07</v>
      </c>
      <c r="H91" s="1419">
        <v>7.31</v>
      </c>
      <c r="I91" s="1485">
        <f t="shared" si="21"/>
        <v>10972.6</v>
      </c>
      <c r="J91" s="1485">
        <f t="shared" si="22"/>
        <v>11736.2</v>
      </c>
      <c r="K91" s="1485">
        <v>0</v>
      </c>
      <c r="L91" s="1485">
        <f t="shared" si="27"/>
        <v>0</v>
      </c>
      <c r="M91" s="1485">
        <v>1660</v>
      </c>
      <c r="N91" s="1485">
        <f t="shared" si="28"/>
        <v>1660</v>
      </c>
      <c r="O91" s="1485">
        <f t="shared" si="29"/>
        <v>0</v>
      </c>
      <c r="P91" s="1485">
        <f t="shared" si="30"/>
        <v>11736.2</v>
      </c>
      <c r="Q91" s="1485">
        <f t="shared" si="31"/>
        <v>12134.6</v>
      </c>
      <c r="R91" s="1597">
        <f t="shared" si="32"/>
        <v>12134.6</v>
      </c>
      <c r="S91" s="1425">
        <v>1660</v>
      </c>
      <c r="T91" s="1232">
        <v>12134.599999999999</v>
      </c>
      <c r="U91" s="1479"/>
      <c r="V91" s="1232">
        <f t="shared" si="33"/>
        <v>0</v>
      </c>
      <c r="W91" s="1425">
        <f>S91+U91</f>
        <v>1660</v>
      </c>
      <c r="X91" s="1366">
        <f t="shared" si="34"/>
        <v>12134.599999999999</v>
      </c>
      <c r="Y91" s="1426">
        <f t="shared" si="35"/>
        <v>0.99999999999999989</v>
      </c>
      <c r="Z91" s="1427">
        <f t="shared" ref="Z91:Z97" si="40">+E91-W91</f>
        <v>0</v>
      </c>
      <c r="AA91" s="1234">
        <f t="shared" si="36"/>
        <v>0</v>
      </c>
      <c r="AB91" s="1428">
        <f t="shared" si="37"/>
        <v>0</v>
      </c>
      <c r="AC91" s="1423">
        <f t="shared" si="23"/>
        <v>1.8189894035458565E-12</v>
      </c>
      <c r="AD91" s="1423">
        <f t="shared" si="24"/>
        <v>0</v>
      </c>
      <c r="AE91" s="1423">
        <v>12134.599999999999</v>
      </c>
      <c r="AF91" s="1423">
        <f t="shared" si="25"/>
        <v>0</v>
      </c>
      <c r="AG91" s="1423">
        <v>7.31</v>
      </c>
      <c r="AH91" s="1423">
        <f t="shared" si="26"/>
        <v>0</v>
      </c>
      <c r="AI91" s="1434"/>
    </row>
    <row r="92" spans="1:42" s="1417" customFormat="1" ht="13.8">
      <c r="A92" s="2141"/>
      <c r="B92" s="1272" t="s">
        <v>2817</v>
      </c>
      <c r="C92" s="1262" t="s">
        <v>3531</v>
      </c>
      <c r="D92" s="1273"/>
      <c r="E92" s="1420"/>
      <c r="F92" s="1267"/>
      <c r="G92" s="1487"/>
      <c r="H92" s="1421"/>
      <c r="I92" s="1485">
        <f t="shared" si="21"/>
        <v>0</v>
      </c>
      <c r="J92" s="1485">
        <f t="shared" si="22"/>
        <v>0</v>
      </c>
      <c r="K92" s="1485"/>
      <c r="L92" s="1485">
        <f t="shared" si="27"/>
        <v>0</v>
      </c>
      <c r="M92" s="1485"/>
      <c r="N92" s="1485">
        <f t="shared" si="28"/>
        <v>0</v>
      </c>
      <c r="O92" s="1485">
        <f t="shared" si="29"/>
        <v>0</v>
      </c>
      <c r="P92" s="1485">
        <f t="shared" si="30"/>
        <v>0</v>
      </c>
      <c r="Q92" s="1485">
        <f t="shared" si="31"/>
        <v>0</v>
      </c>
      <c r="R92" s="1597">
        <f t="shared" si="32"/>
        <v>0</v>
      </c>
      <c r="S92" s="1425"/>
      <c r="T92" s="1232">
        <v>0</v>
      </c>
      <c r="U92" s="1479"/>
      <c r="V92" s="1232">
        <f t="shared" si="33"/>
        <v>0</v>
      </c>
      <c r="W92" s="1425"/>
      <c r="X92" s="1366">
        <f t="shared" si="34"/>
        <v>0</v>
      </c>
      <c r="Y92" s="1426" t="str">
        <f t="shared" si="35"/>
        <v/>
      </c>
      <c r="Z92" s="1427">
        <f t="shared" si="40"/>
        <v>0</v>
      </c>
      <c r="AA92" s="1234">
        <f t="shared" si="36"/>
        <v>0</v>
      </c>
      <c r="AB92" s="1428" t="str">
        <f t="shared" si="37"/>
        <v/>
      </c>
      <c r="AC92" s="1423">
        <f t="shared" si="23"/>
        <v>0</v>
      </c>
      <c r="AD92" s="1423">
        <f t="shared" si="24"/>
        <v>0</v>
      </c>
      <c r="AE92" s="1423"/>
      <c r="AF92" s="1423">
        <f t="shared" si="25"/>
        <v>0</v>
      </c>
      <c r="AG92" s="1423"/>
      <c r="AH92" s="1423">
        <f t="shared" si="26"/>
        <v>0</v>
      </c>
      <c r="AI92" s="1434"/>
    </row>
    <row r="93" spans="1:42" s="1417" customFormat="1" ht="13.8">
      <c r="A93" s="2141"/>
      <c r="B93" s="1268" t="s">
        <v>2818</v>
      </c>
      <c r="C93" s="1241" t="s">
        <v>3532</v>
      </c>
      <c r="D93" s="1245" t="s">
        <v>36</v>
      </c>
      <c r="E93" s="1418">
        <v>50</v>
      </c>
      <c r="F93" s="1575">
        <v>68.91</v>
      </c>
      <c r="G93" s="1487">
        <v>72.099999999999994</v>
      </c>
      <c r="H93" s="1419">
        <v>73.89</v>
      </c>
      <c r="I93" s="1485">
        <f t="shared" si="21"/>
        <v>3445.5</v>
      </c>
      <c r="J93" s="1485">
        <f t="shared" si="22"/>
        <v>3605</v>
      </c>
      <c r="K93" s="1485">
        <v>0</v>
      </c>
      <c r="L93" s="1485">
        <f t="shared" si="27"/>
        <v>0</v>
      </c>
      <c r="M93" s="1485">
        <v>50</v>
      </c>
      <c r="N93" s="1485">
        <f t="shared" si="28"/>
        <v>50</v>
      </c>
      <c r="O93" s="1485">
        <f t="shared" si="29"/>
        <v>0</v>
      </c>
      <c r="P93" s="1485">
        <f t="shared" si="30"/>
        <v>3605</v>
      </c>
      <c r="Q93" s="1485">
        <f t="shared" si="31"/>
        <v>3694.5</v>
      </c>
      <c r="R93" s="1597">
        <f t="shared" si="32"/>
        <v>3694.5</v>
      </c>
      <c r="S93" s="1425">
        <v>2</v>
      </c>
      <c r="T93" s="1232">
        <v>147.78</v>
      </c>
      <c r="U93" s="1479"/>
      <c r="V93" s="1232">
        <f t="shared" si="33"/>
        <v>0</v>
      </c>
      <c r="W93" s="1425">
        <f>S93+U93</f>
        <v>2</v>
      </c>
      <c r="X93" s="1366">
        <f t="shared" si="34"/>
        <v>147.78</v>
      </c>
      <c r="Y93" s="1426">
        <f t="shared" si="35"/>
        <v>0.04</v>
      </c>
      <c r="Z93" s="1427">
        <f t="shared" si="40"/>
        <v>48</v>
      </c>
      <c r="AA93" s="1234">
        <f t="shared" si="36"/>
        <v>3546.7200000000003</v>
      </c>
      <c r="AB93" s="1428">
        <f t="shared" si="37"/>
        <v>0.96000000000000008</v>
      </c>
      <c r="AC93" s="1423">
        <f t="shared" si="23"/>
        <v>0</v>
      </c>
      <c r="AD93" s="1423">
        <f t="shared" si="24"/>
        <v>0</v>
      </c>
      <c r="AE93" s="1423">
        <v>3694.5000000000005</v>
      </c>
      <c r="AF93" s="1423">
        <f t="shared" si="25"/>
        <v>0</v>
      </c>
      <c r="AG93" s="1423">
        <v>73.89</v>
      </c>
      <c r="AH93" s="1423">
        <f t="shared" si="26"/>
        <v>0</v>
      </c>
      <c r="AI93" s="1434"/>
    </row>
    <row r="94" spans="1:42" s="1417" customFormat="1" ht="13.8">
      <c r="A94" s="2141"/>
      <c r="B94" s="1272" t="s">
        <v>2819</v>
      </c>
      <c r="C94" s="1262" t="s">
        <v>3534</v>
      </c>
      <c r="D94" s="1273"/>
      <c r="E94" s="1420"/>
      <c r="F94" s="1267"/>
      <c r="G94" s="1487"/>
      <c r="H94" s="1421"/>
      <c r="I94" s="1485">
        <f t="shared" si="21"/>
        <v>0</v>
      </c>
      <c r="J94" s="1485">
        <f t="shared" si="22"/>
        <v>0</v>
      </c>
      <c r="K94" s="1485"/>
      <c r="L94" s="1485">
        <f t="shared" si="27"/>
        <v>0</v>
      </c>
      <c r="M94" s="1485"/>
      <c r="N94" s="1485">
        <f t="shared" si="28"/>
        <v>0</v>
      </c>
      <c r="O94" s="1485">
        <f t="shared" si="29"/>
        <v>0</v>
      </c>
      <c r="P94" s="1485">
        <f t="shared" si="30"/>
        <v>0</v>
      </c>
      <c r="Q94" s="1485">
        <f t="shared" si="31"/>
        <v>0</v>
      </c>
      <c r="R94" s="1597">
        <f t="shared" si="32"/>
        <v>0</v>
      </c>
      <c r="S94" s="1425"/>
      <c r="T94" s="1232">
        <v>0</v>
      </c>
      <c r="U94" s="1479"/>
      <c r="V94" s="1232">
        <f t="shared" si="33"/>
        <v>0</v>
      </c>
      <c r="W94" s="1425"/>
      <c r="X94" s="1366">
        <f t="shared" si="34"/>
        <v>0</v>
      </c>
      <c r="Y94" s="1426" t="str">
        <f t="shared" si="35"/>
        <v/>
      </c>
      <c r="Z94" s="1427">
        <f t="shared" si="40"/>
        <v>0</v>
      </c>
      <c r="AA94" s="1234">
        <f t="shared" si="36"/>
        <v>0</v>
      </c>
      <c r="AB94" s="1428" t="str">
        <f t="shared" si="37"/>
        <v/>
      </c>
      <c r="AC94" s="1423">
        <f t="shared" si="23"/>
        <v>0</v>
      </c>
      <c r="AD94" s="1423">
        <f t="shared" si="24"/>
        <v>0</v>
      </c>
      <c r="AE94" s="1423"/>
      <c r="AF94" s="1423">
        <f t="shared" si="25"/>
        <v>0</v>
      </c>
      <c r="AG94" s="1423"/>
      <c r="AH94" s="1423">
        <f t="shared" si="26"/>
        <v>0</v>
      </c>
      <c r="AI94" s="1434"/>
    </row>
    <row r="95" spans="1:42" s="1417" customFormat="1" ht="13.8">
      <c r="A95" s="2141"/>
      <c r="B95" s="1268" t="s">
        <v>2820</v>
      </c>
      <c r="C95" s="1241" t="s">
        <v>3563</v>
      </c>
      <c r="D95" s="1245" t="s">
        <v>36</v>
      </c>
      <c r="E95" s="1418">
        <v>72</v>
      </c>
      <c r="F95" s="1575">
        <v>61.97</v>
      </c>
      <c r="G95" s="1487">
        <v>63.49</v>
      </c>
      <c r="H95" s="1419">
        <v>64.3</v>
      </c>
      <c r="I95" s="1485">
        <f t="shared" si="21"/>
        <v>4461.84</v>
      </c>
      <c r="J95" s="1485">
        <f t="shared" si="22"/>
        <v>4571.28</v>
      </c>
      <c r="K95" s="1485">
        <v>0</v>
      </c>
      <c r="L95" s="1485">
        <f t="shared" si="27"/>
        <v>0</v>
      </c>
      <c r="M95" s="1485">
        <v>72</v>
      </c>
      <c r="N95" s="1485">
        <f t="shared" si="28"/>
        <v>72</v>
      </c>
      <c r="O95" s="1485">
        <f t="shared" si="29"/>
        <v>0</v>
      </c>
      <c r="P95" s="1485">
        <f t="shared" si="30"/>
        <v>4571.28</v>
      </c>
      <c r="Q95" s="1485">
        <f t="shared" si="31"/>
        <v>4629.6000000000004</v>
      </c>
      <c r="R95" s="1597">
        <f t="shared" si="32"/>
        <v>4629.6000000000004</v>
      </c>
      <c r="S95" s="1425">
        <v>72</v>
      </c>
      <c r="T95" s="1232">
        <v>4629.5999999999995</v>
      </c>
      <c r="U95" s="1479"/>
      <c r="V95" s="1232">
        <f t="shared" si="33"/>
        <v>0</v>
      </c>
      <c r="W95" s="1425">
        <f>S95+U95</f>
        <v>72</v>
      </c>
      <c r="X95" s="1366">
        <f t="shared" si="34"/>
        <v>4629.5999999999995</v>
      </c>
      <c r="Y95" s="1426">
        <f t="shared" si="35"/>
        <v>0.99999999999999978</v>
      </c>
      <c r="Z95" s="1427">
        <f t="shared" si="40"/>
        <v>0</v>
      </c>
      <c r="AA95" s="1234">
        <f t="shared" si="36"/>
        <v>0</v>
      </c>
      <c r="AB95" s="1428">
        <f t="shared" si="37"/>
        <v>0</v>
      </c>
      <c r="AC95" s="1423">
        <f t="shared" si="23"/>
        <v>9.0949470177292824E-13</v>
      </c>
      <c r="AD95" s="1423">
        <f t="shared" si="24"/>
        <v>0</v>
      </c>
      <c r="AE95" s="1423">
        <v>4629.5999999999995</v>
      </c>
      <c r="AF95" s="1423">
        <f t="shared" si="25"/>
        <v>0</v>
      </c>
      <c r="AG95" s="1423">
        <v>64.3</v>
      </c>
      <c r="AH95" s="1423">
        <f t="shared" si="26"/>
        <v>0</v>
      </c>
      <c r="AI95" s="1434"/>
    </row>
    <row r="96" spans="1:42" s="1417" customFormat="1" ht="13.8">
      <c r="A96" s="2141"/>
      <c r="B96" s="1268" t="s">
        <v>2821</v>
      </c>
      <c r="C96" s="1241" t="s">
        <v>3564</v>
      </c>
      <c r="D96" s="1245" t="s">
        <v>36</v>
      </c>
      <c r="E96" s="1418">
        <v>29</v>
      </c>
      <c r="F96" s="1575">
        <v>356.21</v>
      </c>
      <c r="G96" s="1487">
        <v>361.31</v>
      </c>
      <c r="H96" s="1419">
        <v>364.13</v>
      </c>
      <c r="I96" s="1485">
        <f t="shared" si="21"/>
        <v>10330.09</v>
      </c>
      <c r="J96" s="1485">
        <f t="shared" si="22"/>
        <v>10477.99</v>
      </c>
      <c r="K96" s="1485">
        <v>0</v>
      </c>
      <c r="L96" s="1485">
        <f t="shared" si="27"/>
        <v>0</v>
      </c>
      <c r="M96" s="1485">
        <v>29</v>
      </c>
      <c r="N96" s="1485">
        <f t="shared" si="28"/>
        <v>29</v>
      </c>
      <c r="O96" s="1485">
        <f t="shared" si="29"/>
        <v>0</v>
      </c>
      <c r="P96" s="1485">
        <f t="shared" si="30"/>
        <v>10477.99</v>
      </c>
      <c r="Q96" s="1485">
        <f t="shared" si="31"/>
        <v>10559.77</v>
      </c>
      <c r="R96" s="1597">
        <f t="shared" si="32"/>
        <v>10559.77</v>
      </c>
      <c r="S96" s="1425">
        <v>8</v>
      </c>
      <c r="T96" s="1232">
        <v>2913.04</v>
      </c>
      <c r="U96" s="1479"/>
      <c r="V96" s="1232">
        <f t="shared" si="33"/>
        <v>0</v>
      </c>
      <c r="W96" s="1425">
        <f>S96+U96</f>
        <v>8</v>
      </c>
      <c r="X96" s="1366">
        <f t="shared" si="34"/>
        <v>2913.04</v>
      </c>
      <c r="Y96" s="1426">
        <f t="shared" si="35"/>
        <v>0.27586206896551724</v>
      </c>
      <c r="Z96" s="1427">
        <f t="shared" si="40"/>
        <v>21</v>
      </c>
      <c r="AA96" s="1234">
        <f t="shared" si="36"/>
        <v>7646.73</v>
      </c>
      <c r="AB96" s="1428">
        <f t="shared" si="37"/>
        <v>0.72413793103448265</v>
      </c>
      <c r="AC96" s="1423">
        <f t="shared" si="23"/>
        <v>0</v>
      </c>
      <c r="AD96" s="1423">
        <f t="shared" si="24"/>
        <v>0</v>
      </c>
      <c r="AE96" s="1423">
        <v>10559.77</v>
      </c>
      <c r="AF96" s="1423">
        <f t="shared" si="25"/>
        <v>0</v>
      </c>
      <c r="AG96" s="1423">
        <v>364.13</v>
      </c>
      <c r="AH96" s="1423">
        <f t="shared" si="26"/>
        <v>0</v>
      </c>
      <c r="AI96" s="1434"/>
    </row>
    <row r="97" spans="1:35" s="1417" customFormat="1" ht="13.8">
      <c r="A97" s="2141"/>
      <c r="B97" s="1268" t="s">
        <v>2822</v>
      </c>
      <c r="C97" s="1241" t="s">
        <v>3565</v>
      </c>
      <c r="D97" s="1245" t="s">
        <v>36</v>
      </c>
      <c r="E97" s="1418">
        <v>59</v>
      </c>
      <c r="F97" s="1575">
        <v>223.44</v>
      </c>
      <c r="G97" s="1487">
        <v>228.54</v>
      </c>
      <c r="H97" s="1419">
        <v>231.36</v>
      </c>
      <c r="I97" s="1485">
        <f t="shared" si="21"/>
        <v>13182.96</v>
      </c>
      <c r="J97" s="1485">
        <f t="shared" si="22"/>
        <v>13483.86</v>
      </c>
      <c r="K97" s="1485">
        <v>0</v>
      </c>
      <c r="L97" s="1485">
        <f t="shared" si="27"/>
        <v>0</v>
      </c>
      <c r="M97" s="1485">
        <v>59</v>
      </c>
      <c r="N97" s="1485">
        <f t="shared" si="28"/>
        <v>59</v>
      </c>
      <c r="O97" s="1485">
        <f t="shared" si="29"/>
        <v>0</v>
      </c>
      <c r="P97" s="1485">
        <f t="shared" si="30"/>
        <v>13483.86</v>
      </c>
      <c r="Q97" s="1485">
        <f t="shared" si="31"/>
        <v>13650.24</v>
      </c>
      <c r="R97" s="1597">
        <f t="shared" si="32"/>
        <v>13650.24</v>
      </c>
      <c r="S97" s="1425">
        <v>59</v>
      </c>
      <c r="T97" s="1232">
        <v>13650.24</v>
      </c>
      <c r="U97" s="1479"/>
      <c r="V97" s="1232">
        <f t="shared" si="33"/>
        <v>0</v>
      </c>
      <c r="W97" s="1425">
        <f>S97+U97</f>
        <v>59</v>
      </c>
      <c r="X97" s="1366">
        <f t="shared" si="34"/>
        <v>13650.24</v>
      </c>
      <c r="Y97" s="1426">
        <f t="shared" si="35"/>
        <v>1</v>
      </c>
      <c r="Z97" s="1427">
        <f t="shared" si="40"/>
        <v>0</v>
      </c>
      <c r="AA97" s="1234">
        <f t="shared" si="36"/>
        <v>0</v>
      </c>
      <c r="AB97" s="1428">
        <f t="shared" si="37"/>
        <v>0</v>
      </c>
      <c r="AC97" s="1423">
        <f t="shared" si="23"/>
        <v>0</v>
      </c>
      <c r="AD97" s="1423">
        <f t="shared" si="24"/>
        <v>0</v>
      </c>
      <c r="AE97" s="1423">
        <v>13650.240000000002</v>
      </c>
      <c r="AF97" s="1423">
        <f t="shared" si="25"/>
        <v>0</v>
      </c>
      <c r="AG97" s="1423">
        <v>231.36</v>
      </c>
      <c r="AH97" s="1423">
        <f t="shared" si="26"/>
        <v>0</v>
      </c>
      <c r="AI97" s="1434"/>
    </row>
    <row r="98" spans="1:35" s="1231" customFormat="1" ht="13.8">
      <c r="A98" s="2142"/>
      <c r="B98" s="1263" t="s">
        <v>2090</v>
      </c>
      <c r="C98" s="1264" t="s">
        <v>3566</v>
      </c>
      <c r="D98" s="1265"/>
      <c r="E98" s="1266"/>
      <c r="F98" s="1267"/>
      <c r="G98" s="1487"/>
      <c r="H98" s="1267"/>
      <c r="I98" s="1485">
        <f t="shared" si="21"/>
        <v>0</v>
      </c>
      <c r="J98" s="1485">
        <f t="shared" si="22"/>
        <v>0</v>
      </c>
      <c r="K98" s="1485"/>
      <c r="L98" s="1485">
        <f t="shared" si="27"/>
        <v>0</v>
      </c>
      <c r="M98" s="1485"/>
      <c r="N98" s="1485">
        <f t="shared" si="28"/>
        <v>0</v>
      </c>
      <c r="O98" s="1485">
        <f t="shared" si="29"/>
        <v>0</v>
      </c>
      <c r="P98" s="1485">
        <f t="shared" si="30"/>
        <v>0</v>
      </c>
      <c r="Q98" s="1485">
        <f t="shared" si="31"/>
        <v>0</v>
      </c>
      <c r="R98" s="1597">
        <f t="shared" si="32"/>
        <v>0</v>
      </c>
      <c r="S98" s="1233"/>
      <c r="T98" s="1232"/>
      <c r="U98" s="1479"/>
      <c r="V98" s="1232">
        <f t="shared" si="33"/>
        <v>0</v>
      </c>
      <c r="W98" s="1233"/>
      <c r="X98" s="1366"/>
      <c r="Y98" s="1426" t="str">
        <f t="shared" si="35"/>
        <v/>
      </c>
      <c r="Z98" s="1427"/>
      <c r="AA98" s="1234">
        <f t="shared" si="36"/>
        <v>0</v>
      </c>
      <c r="AB98" s="1428" t="str">
        <f t="shared" si="37"/>
        <v/>
      </c>
      <c r="AC98" s="1423">
        <f t="shared" si="23"/>
        <v>0</v>
      </c>
      <c r="AD98" s="1423">
        <f t="shared" si="24"/>
        <v>0</v>
      </c>
      <c r="AE98" s="1230"/>
      <c r="AF98" s="1230">
        <f t="shared" si="25"/>
        <v>0</v>
      </c>
      <c r="AG98" s="1230"/>
      <c r="AH98" s="1423">
        <f t="shared" si="26"/>
        <v>0</v>
      </c>
      <c r="AI98" s="1349"/>
    </row>
    <row r="99" spans="1:35" s="1417" customFormat="1" ht="13.8">
      <c r="A99" s="2141"/>
      <c r="B99" s="1272" t="s">
        <v>2091</v>
      </c>
      <c r="C99" s="1262" t="s">
        <v>3567</v>
      </c>
      <c r="D99" s="1273"/>
      <c r="E99" s="1420"/>
      <c r="F99" s="1267"/>
      <c r="G99" s="1487"/>
      <c r="H99" s="1421"/>
      <c r="I99" s="1485">
        <f t="shared" si="21"/>
        <v>0</v>
      </c>
      <c r="J99" s="1485">
        <f t="shared" si="22"/>
        <v>0</v>
      </c>
      <c r="K99" s="1485"/>
      <c r="L99" s="1485">
        <f t="shared" si="27"/>
        <v>0</v>
      </c>
      <c r="M99" s="1485"/>
      <c r="N99" s="1485">
        <f t="shared" si="28"/>
        <v>0</v>
      </c>
      <c r="O99" s="1485">
        <f t="shared" si="29"/>
        <v>0</v>
      </c>
      <c r="P99" s="1485">
        <f t="shared" si="30"/>
        <v>0</v>
      </c>
      <c r="Q99" s="1485">
        <f t="shared" si="31"/>
        <v>0</v>
      </c>
      <c r="R99" s="1597">
        <f t="shared" si="32"/>
        <v>0</v>
      </c>
      <c r="S99" s="1425"/>
      <c r="T99" s="1232"/>
      <c r="U99" s="1479"/>
      <c r="V99" s="1232">
        <f t="shared" si="33"/>
        <v>0</v>
      </c>
      <c r="W99" s="1425"/>
      <c r="X99" s="1366"/>
      <c r="Y99" s="1426" t="str">
        <f t="shared" si="35"/>
        <v/>
      </c>
      <c r="Z99" s="1427"/>
      <c r="AA99" s="1234">
        <f t="shared" si="36"/>
        <v>0</v>
      </c>
      <c r="AB99" s="1428" t="str">
        <f t="shared" si="37"/>
        <v/>
      </c>
      <c r="AC99" s="1423">
        <f t="shared" si="23"/>
        <v>0</v>
      </c>
      <c r="AD99" s="1423">
        <f t="shared" si="24"/>
        <v>0</v>
      </c>
      <c r="AE99" s="1423"/>
      <c r="AF99" s="1423">
        <f t="shared" si="25"/>
        <v>0</v>
      </c>
      <c r="AG99" s="1423"/>
      <c r="AH99" s="1423">
        <f t="shared" si="26"/>
        <v>0</v>
      </c>
      <c r="AI99" s="1434"/>
    </row>
    <row r="100" spans="1:35" s="1417" customFormat="1" ht="13.8">
      <c r="A100" s="2141"/>
      <c r="B100" s="1268" t="s">
        <v>2092</v>
      </c>
      <c r="C100" s="1241" t="s">
        <v>3544</v>
      </c>
      <c r="D100" s="1245" t="s">
        <v>38</v>
      </c>
      <c r="E100" s="1418">
        <v>63.47</v>
      </c>
      <c r="F100" s="1575">
        <v>6.03</v>
      </c>
      <c r="G100" s="1487">
        <v>6.34</v>
      </c>
      <c r="H100" s="1419">
        <v>6.52</v>
      </c>
      <c r="I100" s="1485">
        <f t="shared" si="21"/>
        <v>382.72</v>
      </c>
      <c r="J100" s="1485">
        <f t="shared" si="22"/>
        <v>402.4</v>
      </c>
      <c r="K100" s="1485">
        <v>25</v>
      </c>
      <c r="L100" s="1485">
        <f t="shared" si="27"/>
        <v>25</v>
      </c>
      <c r="M100" s="1485">
        <v>38.47</v>
      </c>
      <c r="N100" s="1485">
        <f t="shared" si="28"/>
        <v>38.47</v>
      </c>
      <c r="O100" s="1485">
        <f t="shared" si="29"/>
        <v>158.5</v>
      </c>
      <c r="P100" s="1485">
        <f t="shared" si="30"/>
        <v>243.9</v>
      </c>
      <c r="Q100" s="1485">
        <f t="shared" si="31"/>
        <v>250.82</v>
      </c>
      <c r="R100" s="1597">
        <f t="shared" si="32"/>
        <v>409.32</v>
      </c>
      <c r="S100" s="1425">
        <v>63.47</v>
      </c>
      <c r="T100" s="1232">
        <v>409.32440000000003</v>
      </c>
      <c r="U100" s="1479"/>
      <c r="V100" s="1232">
        <f t="shared" si="33"/>
        <v>0</v>
      </c>
      <c r="W100" s="1425">
        <f>S100+U100</f>
        <v>63.47</v>
      </c>
      <c r="X100" s="1366">
        <f t="shared" si="34"/>
        <v>409.32440000000003</v>
      </c>
      <c r="Y100" s="1426">
        <f t="shared" si="35"/>
        <v>1.0000107495358155</v>
      </c>
      <c r="Z100" s="1427">
        <f>+E100-W100</f>
        <v>0</v>
      </c>
      <c r="AA100" s="1234">
        <f t="shared" si="36"/>
        <v>0</v>
      </c>
      <c r="AB100" s="1428">
        <f t="shared" si="37"/>
        <v>0</v>
      </c>
      <c r="AC100" s="1423">
        <f t="shared" si="23"/>
        <v>-4.400000000032378E-3</v>
      </c>
      <c r="AD100" s="1423">
        <f t="shared" si="24"/>
        <v>0</v>
      </c>
      <c r="AE100" s="1423">
        <v>409.32439999999997</v>
      </c>
      <c r="AF100" s="1423">
        <f t="shared" si="25"/>
        <v>4.3999999999755346E-3</v>
      </c>
      <c r="AG100" s="1423">
        <v>6.52</v>
      </c>
      <c r="AH100" s="1423">
        <f t="shared" si="26"/>
        <v>0</v>
      </c>
      <c r="AI100" s="1434"/>
    </row>
    <row r="101" spans="1:35" s="1417" customFormat="1" ht="13.8">
      <c r="A101" s="2141"/>
      <c r="B101" s="1272" t="s">
        <v>2103</v>
      </c>
      <c r="C101" s="1262" t="s">
        <v>3520</v>
      </c>
      <c r="D101" s="1273"/>
      <c r="E101" s="1420"/>
      <c r="F101" s="1267"/>
      <c r="G101" s="1487"/>
      <c r="H101" s="1421"/>
      <c r="I101" s="1485">
        <f t="shared" si="21"/>
        <v>0</v>
      </c>
      <c r="J101" s="1485">
        <f t="shared" si="22"/>
        <v>0</v>
      </c>
      <c r="K101" s="1485"/>
      <c r="L101" s="1485">
        <f t="shared" si="27"/>
        <v>0</v>
      </c>
      <c r="M101" s="1485"/>
      <c r="N101" s="1485">
        <f t="shared" si="28"/>
        <v>0</v>
      </c>
      <c r="O101" s="1485">
        <f t="shared" si="29"/>
        <v>0</v>
      </c>
      <c r="P101" s="1485">
        <f t="shared" si="30"/>
        <v>0</v>
      </c>
      <c r="Q101" s="1485">
        <f t="shared" si="31"/>
        <v>0</v>
      </c>
      <c r="R101" s="1597">
        <f t="shared" si="32"/>
        <v>0</v>
      </c>
      <c r="S101" s="1425"/>
      <c r="T101" s="1232"/>
      <c r="U101" s="1479"/>
      <c r="V101" s="1232">
        <f t="shared" si="33"/>
        <v>0</v>
      </c>
      <c r="W101" s="1425"/>
      <c r="X101" s="1366"/>
      <c r="Y101" s="1426" t="str">
        <f t="shared" si="35"/>
        <v/>
      </c>
      <c r="Z101" s="1427"/>
      <c r="AA101" s="1234">
        <f t="shared" si="36"/>
        <v>0</v>
      </c>
      <c r="AB101" s="1428" t="str">
        <f t="shared" si="37"/>
        <v/>
      </c>
      <c r="AC101" s="1423">
        <f t="shared" si="23"/>
        <v>0</v>
      </c>
      <c r="AD101" s="1423">
        <f t="shared" si="24"/>
        <v>0</v>
      </c>
      <c r="AE101" s="1423"/>
      <c r="AF101" s="1423">
        <f t="shared" si="25"/>
        <v>0</v>
      </c>
      <c r="AG101" s="1423"/>
      <c r="AH101" s="1423">
        <f t="shared" si="26"/>
        <v>0</v>
      </c>
      <c r="AI101" s="1434"/>
    </row>
    <row r="102" spans="1:35" s="1417" customFormat="1" ht="13.8">
      <c r="A102" s="2141"/>
      <c r="B102" s="1268" t="s">
        <v>2104</v>
      </c>
      <c r="C102" s="1241" t="s">
        <v>3525</v>
      </c>
      <c r="D102" s="1245" t="s">
        <v>38</v>
      </c>
      <c r="E102" s="1418">
        <v>63.47</v>
      </c>
      <c r="F102" s="1575">
        <v>6.76</v>
      </c>
      <c r="G102" s="1487">
        <v>7.22</v>
      </c>
      <c r="H102" s="1419">
        <v>7.46</v>
      </c>
      <c r="I102" s="1485">
        <f t="shared" si="21"/>
        <v>429.06</v>
      </c>
      <c r="J102" s="1485">
        <f t="shared" si="22"/>
        <v>458.25</v>
      </c>
      <c r="K102" s="1485">
        <v>0</v>
      </c>
      <c r="L102" s="1485">
        <f t="shared" si="27"/>
        <v>0</v>
      </c>
      <c r="M102" s="1485">
        <v>63.47</v>
      </c>
      <c r="N102" s="1485">
        <f t="shared" si="28"/>
        <v>63.47</v>
      </c>
      <c r="O102" s="1485">
        <f t="shared" si="29"/>
        <v>0</v>
      </c>
      <c r="P102" s="1485">
        <f t="shared" si="30"/>
        <v>458.25</v>
      </c>
      <c r="Q102" s="1485">
        <f t="shared" si="31"/>
        <v>473.49</v>
      </c>
      <c r="R102" s="1597">
        <f t="shared" si="32"/>
        <v>473.49</v>
      </c>
      <c r="S102" s="1425">
        <v>0</v>
      </c>
      <c r="T102" s="1232">
        <v>0</v>
      </c>
      <c r="U102" s="1479"/>
      <c r="V102" s="1232">
        <f t="shared" si="33"/>
        <v>0</v>
      </c>
      <c r="W102" s="1425">
        <f>S102+U102</f>
        <v>0</v>
      </c>
      <c r="X102" s="1366">
        <f t="shared" si="34"/>
        <v>0</v>
      </c>
      <c r="Y102" s="1426">
        <f t="shared" si="35"/>
        <v>0</v>
      </c>
      <c r="Z102" s="1427">
        <f>+E102-W102</f>
        <v>63.47</v>
      </c>
      <c r="AA102" s="1234">
        <f t="shared" si="36"/>
        <v>473.4862</v>
      </c>
      <c r="AB102" s="1428">
        <f t="shared" si="37"/>
        <v>0.99999197448731758</v>
      </c>
      <c r="AC102" s="1423">
        <f t="shared" si="23"/>
        <v>3.8000000000124601E-3</v>
      </c>
      <c r="AD102" s="1423">
        <f t="shared" si="24"/>
        <v>0</v>
      </c>
      <c r="AE102" s="1423">
        <v>473.4862</v>
      </c>
      <c r="AF102" s="1423">
        <f t="shared" si="25"/>
        <v>-3.8000000000124601E-3</v>
      </c>
      <c r="AG102" s="1423">
        <v>7.46</v>
      </c>
      <c r="AH102" s="1423">
        <f t="shared" si="26"/>
        <v>0</v>
      </c>
      <c r="AI102" s="1434"/>
    </row>
    <row r="103" spans="1:35" s="1417" customFormat="1" ht="13.8">
      <c r="A103" s="2141"/>
      <c r="B103" s="1272" t="s">
        <v>2117</v>
      </c>
      <c r="C103" s="1262" t="s">
        <v>3531</v>
      </c>
      <c r="D103" s="1273"/>
      <c r="E103" s="1420"/>
      <c r="F103" s="1267"/>
      <c r="G103" s="1487"/>
      <c r="H103" s="1421"/>
      <c r="I103" s="1485">
        <f t="shared" si="21"/>
        <v>0</v>
      </c>
      <c r="J103" s="1485">
        <f t="shared" si="22"/>
        <v>0</v>
      </c>
      <c r="K103" s="1485"/>
      <c r="L103" s="1485">
        <f t="shared" si="27"/>
        <v>0</v>
      </c>
      <c r="M103" s="1485"/>
      <c r="N103" s="1485">
        <f t="shared" si="28"/>
        <v>0</v>
      </c>
      <c r="O103" s="1485">
        <f t="shared" si="29"/>
        <v>0</v>
      </c>
      <c r="P103" s="1485">
        <f t="shared" si="30"/>
        <v>0</v>
      </c>
      <c r="Q103" s="1485">
        <f t="shared" si="31"/>
        <v>0</v>
      </c>
      <c r="R103" s="1597">
        <f t="shared" si="32"/>
        <v>0</v>
      </c>
      <c r="S103" s="1425"/>
      <c r="T103" s="1232"/>
      <c r="U103" s="1479"/>
      <c r="V103" s="1232">
        <f t="shared" si="33"/>
        <v>0</v>
      </c>
      <c r="W103" s="1425"/>
      <c r="X103" s="1366"/>
      <c r="Y103" s="1426" t="str">
        <f t="shared" si="35"/>
        <v/>
      </c>
      <c r="Z103" s="1427"/>
      <c r="AA103" s="1234">
        <f t="shared" si="36"/>
        <v>0</v>
      </c>
      <c r="AB103" s="1428" t="str">
        <f t="shared" si="37"/>
        <v/>
      </c>
      <c r="AC103" s="1423">
        <f t="shared" si="23"/>
        <v>0</v>
      </c>
      <c r="AD103" s="1423">
        <f t="shared" si="24"/>
        <v>0</v>
      </c>
      <c r="AE103" s="1423"/>
      <c r="AF103" s="1423">
        <f t="shared" si="25"/>
        <v>0</v>
      </c>
      <c r="AG103" s="1423"/>
      <c r="AH103" s="1423">
        <f t="shared" si="26"/>
        <v>0</v>
      </c>
      <c r="AI103" s="1434"/>
    </row>
    <row r="104" spans="1:35" s="1417" customFormat="1" ht="13.8">
      <c r="A104" s="2141"/>
      <c r="B104" s="1268" t="s">
        <v>2118</v>
      </c>
      <c r="C104" s="1241" t="s">
        <v>3532</v>
      </c>
      <c r="D104" s="1245" t="s">
        <v>36</v>
      </c>
      <c r="E104" s="1418">
        <v>11</v>
      </c>
      <c r="F104" s="1575">
        <v>68.91</v>
      </c>
      <c r="G104" s="1487">
        <v>72.099999999999994</v>
      </c>
      <c r="H104" s="1419">
        <v>73.89</v>
      </c>
      <c r="I104" s="1485">
        <f t="shared" si="21"/>
        <v>758.01</v>
      </c>
      <c r="J104" s="1485">
        <f t="shared" si="22"/>
        <v>793.1</v>
      </c>
      <c r="K104" s="1485">
        <v>0</v>
      </c>
      <c r="L104" s="1485">
        <f t="shared" si="27"/>
        <v>0</v>
      </c>
      <c r="M104" s="1485">
        <v>11</v>
      </c>
      <c r="N104" s="1485">
        <f t="shared" si="28"/>
        <v>11</v>
      </c>
      <c r="O104" s="1485">
        <f t="shared" si="29"/>
        <v>0</v>
      </c>
      <c r="P104" s="1485">
        <f t="shared" si="30"/>
        <v>793.1</v>
      </c>
      <c r="Q104" s="1485">
        <f t="shared" si="31"/>
        <v>812.79</v>
      </c>
      <c r="R104" s="1597">
        <f t="shared" si="32"/>
        <v>812.79</v>
      </c>
      <c r="S104" s="1425">
        <v>11</v>
      </c>
      <c r="T104" s="1232">
        <v>812.77</v>
      </c>
      <c r="U104" s="1479"/>
      <c r="V104" s="1232">
        <f t="shared" si="33"/>
        <v>0</v>
      </c>
      <c r="W104" s="1425">
        <f>S104+U104</f>
        <v>11</v>
      </c>
      <c r="X104" s="1366">
        <f t="shared" si="34"/>
        <v>812.77</v>
      </c>
      <c r="Y104" s="1426">
        <f t="shared" si="35"/>
        <v>0.99997539339804875</v>
      </c>
      <c r="Z104" s="1427">
        <f>+E104-W104</f>
        <v>0</v>
      </c>
      <c r="AA104" s="1234">
        <f t="shared" si="36"/>
        <v>0</v>
      </c>
      <c r="AB104" s="1428">
        <f t="shared" si="37"/>
        <v>0</v>
      </c>
      <c r="AC104" s="1423">
        <f t="shared" si="23"/>
        <v>1.999999999998181E-2</v>
      </c>
      <c r="AD104" s="1423">
        <f t="shared" si="24"/>
        <v>0</v>
      </c>
      <c r="AE104" s="1423">
        <v>812.79</v>
      </c>
      <c r="AF104" s="1423">
        <f t="shared" si="25"/>
        <v>0</v>
      </c>
      <c r="AG104" s="1423">
        <v>73.89</v>
      </c>
      <c r="AH104" s="1423">
        <f t="shared" si="26"/>
        <v>0</v>
      </c>
      <c r="AI104" s="1434"/>
    </row>
    <row r="105" spans="1:35" s="1417" customFormat="1" ht="13.8">
      <c r="A105" s="2141"/>
      <c r="B105" s="1268" t="s">
        <v>2823</v>
      </c>
      <c r="C105" s="1241" t="s">
        <v>3533</v>
      </c>
      <c r="D105" s="1245" t="s">
        <v>36</v>
      </c>
      <c r="E105" s="1418">
        <v>11</v>
      </c>
      <c r="F105" s="1575">
        <v>137.04</v>
      </c>
      <c r="G105" s="1487">
        <v>140.22999999999999</v>
      </c>
      <c r="H105" s="1419">
        <v>142.02000000000001</v>
      </c>
      <c r="I105" s="1485">
        <f t="shared" si="21"/>
        <v>1507.44</v>
      </c>
      <c r="J105" s="1485">
        <f t="shared" si="22"/>
        <v>1542.53</v>
      </c>
      <c r="K105" s="1485">
        <v>0</v>
      </c>
      <c r="L105" s="1485">
        <f t="shared" si="27"/>
        <v>0</v>
      </c>
      <c r="M105" s="1485">
        <v>11</v>
      </c>
      <c r="N105" s="1485">
        <f t="shared" si="28"/>
        <v>11</v>
      </c>
      <c r="O105" s="1485">
        <f t="shared" si="29"/>
        <v>0</v>
      </c>
      <c r="P105" s="1485">
        <f t="shared" si="30"/>
        <v>1542.53</v>
      </c>
      <c r="Q105" s="1485">
        <f t="shared" si="31"/>
        <v>1562.22</v>
      </c>
      <c r="R105" s="1597">
        <f t="shared" si="32"/>
        <v>1562.22</v>
      </c>
      <c r="S105" s="1425">
        <v>0</v>
      </c>
      <c r="T105" s="1232">
        <v>0</v>
      </c>
      <c r="U105" s="1479"/>
      <c r="V105" s="1232">
        <f t="shared" si="33"/>
        <v>0</v>
      </c>
      <c r="W105" s="1425">
        <f>S105+U105</f>
        <v>0</v>
      </c>
      <c r="X105" s="1366">
        <f t="shared" si="34"/>
        <v>0</v>
      </c>
      <c r="Y105" s="1426">
        <f t="shared" si="35"/>
        <v>0</v>
      </c>
      <c r="Z105" s="1427">
        <f>+E105-W105</f>
        <v>11</v>
      </c>
      <c r="AA105" s="1234">
        <f t="shared" si="36"/>
        <v>1562.22</v>
      </c>
      <c r="AB105" s="1428">
        <f t="shared" si="37"/>
        <v>1</v>
      </c>
      <c r="AC105" s="1423">
        <f t="shared" si="23"/>
        <v>0</v>
      </c>
      <c r="AD105" s="1423">
        <f t="shared" si="24"/>
        <v>0</v>
      </c>
      <c r="AE105" s="1423">
        <v>1562.22</v>
      </c>
      <c r="AF105" s="1423">
        <f t="shared" si="25"/>
        <v>0</v>
      </c>
      <c r="AG105" s="1423">
        <v>142.02000000000001</v>
      </c>
      <c r="AH105" s="1423">
        <f t="shared" si="26"/>
        <v>0</v>
      </c>
      <c r="AI105" s="1434"/>
    </row>
    <row r="106" spans="1:35" s="1417" customFormat="1" ht="13.8">
      <c r="A106" s="2141"/>
      <c r="B106" s="1272" t="s">
        <v>2231</v>
      </c>
      <c r="C106" s="1262" t="s">
        <v>3534</v>
      </c>
      <c r="D106" s="1273"/>
      <c r="E106" s="1420"/>
      <c r="F106" s="1267"/>
      <c r="G106" s="1487"/>
      <c r="H106" s="1421"/>
      <c r="I106" s="1485">
        <f t="shared" si="21"/>
        <v>0</v>
      </c>
      <c r="J106" s="1485">
        <f t="shared" si="22"/>
        <v>0</v>
      </c>
      <c r="K106" s="1485"/>
      <c r="L106" s="1485">
        <f t="shared" si="27"/>
        <v>0</v>
      </c>
      <c r="M106" s="1485"/>
      <c r="N106" s="1485">
        <f t="shared" si="28"/>
        <v>0</v>
      </c>
      <c r="O106" s="1485">
        <f t="shared" si="29"/>
        <v>0</v>
      </c>
      <c r="P106" s="1485">
        <f t="shared" si="30"/>
        <v>0</v>
      </c>
      <c r="Q106" s="1485">
        <f t="shared" si="31"/>
        <v>0</v>
      </c>
      <c r="R106" s="1597">
        <f t="shared" si="32"/>
        <v>0</v>
      </c>
      <c r="S106" s="1425"/>
      <c r="T106" s="1232"/>
      <c r="U106" s="1479"/>
      <c r="V106" s="1232">
        <f t="shared" si="33"/>
        <v>0</v>
      </c>
      <c r="W106" s="1425"/>
      <c r="X106" s="1366"/>
      <c r="Y106" s="1426" t="str">
        <f t="shared" si="35"/>
        <v/>
      </c>
      <c r="Z106" s="1427"/>
      <c r="AA106" s="1234">
        <f t="shared" si="36"/>
        <v>0</v>
      </c>
      <c r="AB106" s="1428" t="str">
        <f t="shared" si="37"/>
        <v/>
      </c>
      <c r="AC106" s="1423">
        <f t="shared" si="23"/>
        <v>0</v>
      </c>
      <c r="AD106" s="1423">
        <f t="shared" si="24"/>
        <v>0</v>
      </c>
      <c r="AE106" s="1423"/>
      <c r="AF106" s="1423">
        <f t="shared" si="25"/>
        <v>0</v>
      </c>
      <c r="AG106" s="1423"/>
      <c r="AH106" s="1423">
        <f t="shared" si="26"/>
        <v>0</v>
      </c>
      <c r="AI106" s="1434"/>
    </row>
    <row r="107" spans="1:35" s="1417" customFormat="1" ht="13.8">
      <c r="A107" s="2141"/>
      <c r="B107" s="1268" t="s">
        <v>2232</v>
      </c>
      <c r="C107" s="1241" t="s">
        <v>3568</v>
      </c>
      <c r="D107" s="1245" t="s">
        <v>36</v>
      </c>
      <c r="E107" s="1418">
        <v>11</v>
      </c>
      <c r="F107" s="1575">
        <v>71.17</v>
      </c>
      <c r="G107" s="1487">
        <v>74.22</v>
      </c>
      <c r="H107" s="1419">
        <v>75.849999999999994</v>
      </c>
      <c r="I107" s="1485">
        <f t="shared" si="21"/>
        <v>782.87</v>
      </c>
      <c r="J107" s="1485">
        <f t="shared" si="22"/>
        <v>816.42</v>
      </c>
      <c r="K107" s="1485">
        <v>0</v>
      </c>
      <c r="L107" s="1485">
        <f t="shared" si="27"/>
        <v>0</v>
      </c>
      <c r="M107" s="1485">
        <v>11</v>
      </c>
      <c r="N107" s="1485">
        <f t="shared" si="28"/>
        <v>11</v>
      </c>
      <c r="O107" s="1485">
        <f t="shared" si="29"/>
        <v>0</v>
      </c>
      <c r="P107" s="1485">
        <f t="shared" si="30"/>
        <v>816.42</v>
      </c>
      <c r="Q107" s="1485">
        <f t="shared" si="31"/>
        <v>834.35</v>
      </c>
      <c r="R107" s="1597">
        <f t="shared" si="32"/>
        <v>834.35</v>
      </c>
      <c r="S107" s="1425">
        <v>0</v>
      </c>
      <c r="T107" s="1232">
        <v>0</v>
      </c>
      <c r="U107" s="1479"/>
      <c r="V107" s="1232">
        <f t="shared" si="33"/>
        <v>0</v>
      </c>
      <c r="W107" s="1425">
        <f>S107+U107</f>
        <v>0</v>
      </c>
      <c r="X107" s="1366">
        <f t="shared" si="34"/>
        <v>0</v>
      </c>
      <c r="Y107" s="1426">
        <f t="shared" si="35"/>
        <v>0</v>
      </c>
      <c r="Z107" s="1427">
        <f>+E107-W107</f>
        <v>11</v>
      </c>
      <c r="AA107" s="1234">
        <f t="shared" si="36"/>
        <v>834.34999999999991</v>
      </c>
      <c r="AB107" s="1428">
        <f t="shared" si="37"/>
        <v>0.99999999999999989</v>
      </c>
      <c r="AC107" s="1423">
        <f t="shared" si="23"/>
        <v>0</v>
      </c>
      <c r="AD107" s="1423">
        <f t="shared" si="24"/>
        <v>0</v>
      </c>
      <c r="AE107" s="1423">
        <v>834.34999999999991</v>
      </c>
      <c r="AF107" s="1423">
        <f t="shared" si="25"/>
        <v>0</v>
      </c>
      <c r="AG107" s="1423">
        <v>75.849999999999994</v>
      </c>
      <c r="AH107" s="1423">
        <f t="shared" si="26"/>
        <v>0</v>
      </c>
      <c r="AI107" s="1434"/>
    </row>
    <row r="108" spans="1:35" s="1231" customFormat="1" ht="13.8">
      <c r="A108" s="2142" t="s">
        <v>3630</v>
      </c>
      <c r="B108" s="1263" t="s">
        <v>2105</v>
      </c>
      <c r="C108" s="1264" t="s">
        <v>3569</v>
      </c>
      <c r="D108" s="1265"/>
      <c r="E108" s="1266"/>
      <c r="F108" s="1267"/>
      <c r="G108" s="1487"/>
      <c r="H108" s="1267"/>
      <c r="I108" s="1485">
        <f t="shared" si="21"/>
        <v>0</v>
      </c>
      <c r="J108" s="1485">
        <f t="shared" si="22"/>
        <v>0</v>
      </c>
      <c r="K108" s="1485"/>
      <c r="L108" s="1485">
        <f t="shared" si="27"/>
        <v>0</v>
      </c>
      <c r="M108" s="1485"/>
      <c r="N108" s="1485">
        <f t="shared" si="28"/>
        <v>0</v>
      </c>
      <c r="O108" s="1485">
        <f t="shared" si="29"/>
        <v>0</v>
      </c>
      <c r="P108" s="1485">
        <f t="shared" si="30"/>
        <v>0</v>
      </c>
      <c r="Q108" s="1485">
        <f t="shared" si="31"/>
        <v>0</v>
      </c>
      <c r="R108" s="1597">
        <f t="shared" si="32"/>
        <v>0</v>
      </c>
      <c r="S108" s="1233"/>
      <c r="T108" s="1232"/>
      <c r="U108" s="1479"/>
      <c r="V108" s="1232">
        <f t="shared" si="33"/>
        <v>0</v>
      </c>
      <c r="W108" s="1233"/>
      <c r="X108" s="1366"/>
      <c r="Y108" s="1426" t="str">
        <f t="shared" si="35"/>
        <v/>
      </c>
      <c r="Z108" s="1427"/>
      <c r="AA108" s="1234">
        <f t="shared" si="36"/>
        <v>0</v>
      </c>
      <c r="AB108" s="1428" t="str">
        <f t="shared" si="37"/>
        <v/>
      </c>
      <c r="AC108" s="1423">
        <f t="shared" si="23"/>
        <v>0</v>
      </c>
      <c r="AD108" s="1423">
        <f t="shared" si="24"/>
        <v>0</v>
      </c>
      <c r="AE108" s="1230"/>
      <c r="AF108" s="1230">
        <f t="shared" si="25"/>
        <v>0</v>
      </c>
      <c r="AG108" s="1230"/>
      <c r="AH108" s="1423">
        <f t="shared" si="26"/>
        <v>0</v>
      </c>
      <c r="AI108" s="1349"/>
    </row>
    <row r="109" spans="1:35" s="1417" customFormat="1" ht="13.8">
      <c r="A109" s="2141" t="s">
        <v>3630</v>
      </c>
      <c r="B109" s="1272" t="s">
        <v>2107</v>
      </c>
      <c r="C109" s="1262" t="s">
        <v>3502</v>
      </c>
      <c r="D109" s="1273"/>
      <c r="E109" s="1420"/>
      <c r="F109" s="1267"/>
      <c r="G109" s="1487"/>
      <c r="H109" s="1421"/>
      <c r="I109" s="1485">
        <f t="shared" si="21"/>
        <v>0</v>
      </c>
      <c r="J109" s="1485">
        <f t="shared" si="22"/>
        <v>0</v>
      </c>
      <c r="K109" s="1485"/>
      <c r="L109" s="1485">
        <f t="shared" si="27"/>
        <v>0</v>
      </c>
      <c r="M109" s="1485"/>
      <c r="N109" s="1485">
        <f t="shared" si="28"/>
        <v>0</v>
      </c>
      <c r="O109" s="1485">
        <f t="shared" si="29"/>
        <v>0</v>
      </c>
      <c r="P109" s="1485">
        <f t="shared" si="30"/>
        <v>0</v>
      </c>
      <c r="Q109" s="1485">
        <f t="shared" si="31"/>
        <v>0</v>
      </c>
      <c r="R109" s="1597">
        <f t="shared" si="32"/>
        <v>0</v>
      </c>
      <c r="S109" s="1425"/>
      <c r="T109" s="1232"/>
      <c r="U109" s="1479"/>
      <c r="V109" s="1232">
        <f t="shared" si="33"/>
        <v>0</v>
      </c>
      <c r="W109" s="1425"/>
      <c r="X109" s="1366"/>
      <c r="Y109" s="1426" t="str">
        <f t="shared" si="35"/>
        <v/>
      </c>
      <c r="Z109" s="1427"/>
      <c r="AA109" s="1234">
        <f t="shared" si="36"/>
        <v>0</v>
      </c>
      <c r="AB109" s="1428" t="str">
        <f t="shared" si="37"/>
        <v/>
      </c>
      <c r="AC109" s="1423">
        <f t="shared" si="23"/>
        <v>0</v>
      </c>
      <c r="AD109" s="1423">
        <f t="shared" si="24"/>
        <v>0</v>
      </c>
      <c r="AE109" s="1423"/>
      <c r="AF109" s="1423">
        <f t="shared" si="25"/>
        <v>0</v>
      </c>
      <c r="AG109" s="1423"/>
      <c r="AH109" s="1423">
        <f t="shared" si="26"/>
        <v>0</v>
      </c>
      <c r="AI109" s="1434"/>
    </row>
    <row r="110" spans="1:35" s="1417" customFormat="1" ht="13.8">
      <c r="A110" s="2141" t="s">
        <v>3630</v>
      </c>
      <c r="B110" s="1268" t="s">
        <v>2108</v>
      </c>
      <c r="C110" s="1241" t="s">
        <v>3544</v>
      </c>
      <c r="D110" s="1245" t="s">
        <v>38</v>
      </c>
      <c r="E110" s="1418">
        <v>200</v>
      </c>
      <c r="F110" s="1575">
        <v>6.03</v>
      </c>
      <c r="G110" s="1487">
        <v>6.34</v>
      </c>
      <c r="H110" s="1419">
        <v>6.52</v>
      </c>
      <c r="I110" s="1485">
        <f t="shared" si="21"/>
        <v>1206</v>
      </c>
      <c r="J110" s="1485">
        <f t="shared" si="22"/>
        <v>1268</v>
      </c>
      <c r="K110" s="1485">
        <v>43</v>
      </c>
      <c r="L110" s="1485">
        <f t="shared" si="27"/>
        <v>43</v>
      </c>
      <c r="M110" s="1485">
        <v>157</v>
      </c>
      <c r="N110" s="1485">
        <f t="shared" si="28"/>
        <v>157</v>
      </c>
      <c r="O110" s="1485">
        <f t="shared" si="29"/>
        <v>272.62</v>
      </c>
      <c r="P110" s="1485">
        <f t="shared" si="30"/>
        <v>995.38</v>
      </c>
      <c r="Q110" s="1485">
        <f t="shared" si="31"/>
        <v>1023.64</v>
      </c>
      <c r="R110" s="1597">
        <f t="shared" si="32"/>
        <v>1296.26</v>
      </c>
      <c r="S110" s="1425">
        <v>200</v>
      </c>
      <c r="T110" s="1232">
        <v>1296.26</v>
      </c>
      <c r="U110" s="1479"/>
      <c r="V110" s="1232">
        <f t="shared" si="33"/>
        <v>0</v>
      </c>
      <c r="W110" s="1425">
        <f>S110+U110</f>
        <v>200</v>
      </c>
      <c r="X110" s="1366">
        <f t="shared" si="34"/>
        <v>1296.26</v>
      </c>
      <c r="Y110" s="1426">
        <f t="shared" si="35"/>
        <v>1</v>
      </c>
      <c r="Z110" s="1427">
        <f>+E110-W110</f>
        <v>0</v>
      </c>
      <c r="AA110" s="1234">
        <f t="shared" si="36"/>
        <v>0</v>
      </c>
      <c r="AB110" s="1428">
        <f t="shared" si="37"/>
        <v>0</v>
      </c>
      <c r="AC110" s="1423">
        <f t="shared" si="23"/>
        <v>0</v>
      </c>
      <c r="AD110" s="1423">
        <f t="shared" si="24"/>
        <v>0</v>
      </c>
      <c r="AE110" s="1423">
        <v>1296.2599999999998</v>
      </c>
      <c r="AF110" s="1423">
        <f t="shared" si="25"/>
        <v>0</v>
      </c>
      <c r="AG110" s="1423">
        <v>6.52</v>
      </c>
      <c r="AH110" s="1423">
        <f t="shared" si="26"/>
        <v>0</v>
      </c>
      <c r="AI110" s="1434"/>
    </row>
    <row r="111" spans="1:35" s="1417" customFormat="1" ht="13.8">
      <c r="A111" s="2141"/>
      <c r="B111" s="1272" t="s">
        <v>2137</v>
      </c>
      <c r="C111" s="1262" t="s">
        <v>3546</v>
      </c>
      <c r="D111" s="1273"/>
      <c r="E111" s="1420"/>
      <c r="F111" s="1267"/>
      <c r="G111" s="1487"/>
      <c r="H111" s="1421"/>
      <c r="I111" s="1485">
        <f t="shared" si="21"/>
        <v>0</v>
      </c>
      <c r="J111" s="1485">
        <f t="shared" si="22"/>
        <v>0</v>
      </c>
      <c r="K111" s="1485"/>
      <c r="L111" s="1485">
        <f t="shared" si="27"/>
        <v>0</v>
      </c>
      <c r="M111" s="1485"/>
      <c r="N111" s="1485">
        <f t="shared" si="28"/>
        <v>0</v>
      </c>
      <c r="O111" s="1485">
        <f t="shared" si="29"/>
        <v>0</v>
      </c>
      <c r="P111" s="1485">
        <f t="shared" si="30"/>
        <v>0</v>
      </c>
      <c r="Q111" s="1485">
        <f t="shared" si="31"/>
        <v>0</v>
      </c>
      <c r="R111" s="1597">
        <f t="shared" si="32"/>
        <v>0</v>
      </c>
      <c r="S111" s="1425"/>
      <c r="T111" s="1232"/>
      <c r="U111" s="1479"/>
      <c r="V111" s="1232">
        <f t="shared" si="33"/>
        <v>0</v>
      </c>
      <c r="W111" s="1425"/>
      <c r="X111" s="1366"/>
      <c r="Y111" s="1426" t="str">
        <f t="shared" si="35"/>
        <v/>
      </c>
      <c r="Z111" s="1427"/>
      <c r="AA111" s="1234">
        <f t="shared" si="36"/>
        <v>0</v>
      </c>
      <c r="AB111" s="1428" t="str">
        <f t="shared" si="37"/>
        <v/>
      </c>
      <c r="AC111" s="1423">
        <f t="shared" si="23"/>
        <v>0</v>
      </c>
      <c r="AD111" s="1423">
        <f t="shared" si="24"/>
        <v>0</v>
      </c>
      <c r="AE111" s="1423"/>
      <c r="AF111" s="1423">
        <f t="shared" si="25"/>
        <v>0</v>
      </c>
      <c r="AG111" s="1423"/>
      <c r="AH111" s="1423">
        <f t="shared" si="26"/>
        <v>0</v>
      </c>
      <c r="AI111" s="1434"/>
    </row>
    <row r="112" spans="1:35" s="1417" customFormat="1" ht="13.8">
      <c r="A112" s="2141"/>
      <c r="B112" s="1268" t="s">
        <v>2150</v>
      </c>
      <c r="C112" s="1241" t="s">
        <v>3570</v>
      </c>
      <c r="D112" s="1245" t="s">
        <v>1452</v>
      </c>
      <c r="E112" s="1418">
        <v>80</v>
      </c>
      <c r="F112" s="1592">
        <v>90.07</v>
      </c>
      <c r="G112" s="1487">
        <v>93.95</v>
      </c>
      <c r="H112" s="1419">
        <v>95.94</v>
      </c>
      <c r="I112" s="1597">
        <f t="shared" si="21"/>
        <v>7205.6</v>
      </c>
      <c r="J112" s="1597">
        <f t="shared" si="22"/>
        <v>7516</v>
      </c>
      <c r="K112" s="1597">
        <v>0</v>
      </c>
      <c r="L112" s="1597">
        <f t="shared" si="27"/>
        <v>0</v>
      </c>
      <c r="M112" s="1597">
        <v>80</v>
      </c>
      <c r="N112" s="1597">
        <f t="shared" si="28"/>
        <v>80</v>
      </c>
      <c r="O112" s="1597">
        <f t="shared" si="29"/>
        <v>0</v>
      </c>
      <c r="P112" s="1597">
        <f t="shared" si="30"/>
        <v>7516</v>
      </c>
      <c r="Q112" s="1597">
        <f t="shared" si="31"/>
        <v>7675.2</v>
      </c>
      <c r="R112" s="1597">
        <f t="shared" si="32"/>
        <v>7675.2</v>
      </c>
      <c r="S112" s="1425">
        <v>0</v>
      </c>
      <c r="T112" s="1232">
        <v>0</v>
      </c>
      <c r="U112" s="1479"/>
      <c r="V112" s="1232">
        <f t="shared" si="33"/>
        <v>0</v>
      </c>
      <c r="W112" s="1425">
        <f>S112+U112</f>
        <v>0</v>
      </c>
      <c r="X112" s="1366">
        <f t="shared" si="34"/>
        <v>0</v>
      </c>
      <c r="Y112" s="1426">
        <f t="shared" si="35"/>
        <v>0</v>
      </c>
      <c r="Z112" s="1427">
        <f>+E112-W112</f>
        <v>80</v>
      </c>
      <c r="AA112" s="1234">
        <f t="shared" si="36"/>
        <v>7675.2</v>
      </c>
      <c r="AB112" s="1428">
        <f t="shared" si="37"/>
        <v>1</v>
      </c>
      <c r="AC112" s="1423">
        <f t="shared" si="23"/>
        <v>0</v>
      </c>
      <c r="AD112" s="1423">
        <f t="shared" si="24"/>
        <v>0</v>
      </c>
      <c r="AE112" s="1423">
        <v>7675.2</v>
      </c>
      <c r="AF112" s="1423">
        <f t="shared" si="25"/>
        <v>0</v>
      </c>
      <c r="AG112" s="1423">
        <v>95.94</v>
      </c>
      <c r="AH112" s="1423">
        <f t="shared" si="26"/>
        <v>0</v>
      </c>
      <c r="AI112" s="1434"/>
    </row>
    <row r="113" spans="1:40" s="1417" customFormat="1" ht="13.8">
      <c r="A113" s="2141"/>
      <c r="B113" s="1272" t="s">
        <v>2197</v>
      </c>
      <c r="C113" s="1262" t="s">
        <v>3520</v>
      </c>
      <c r="D113" s="1273"/>
      <c r="E113" s="1420"/>
      <c r="F113" s="1242"/>
      <c r="G113" s="1487"/>
      <c r="H113" s="1421"/>
      <c r="I113" s="1597">
        <f t="shared" si="21"/>
        <v>0</v>
      </c>
      <c r="J113" s="1597">
        <f t="shared" si="22"/>
        <v>0</v>
      </c>
      <c r="K113" s="1597"/>
      <c r="L113" s="1597">
        <f t="shared" si="27"/>
        <v>0</v>
      </c>
      <c r="M113" s="1597"/>
      <c r="N113" s="1597">
        <f t="shared" si="28"/>
        <v>0</v>
      </c>
      <c r="O113" s="1597">
        <f t="shared" si="29"/>
        <v>0</v>
      </c>
      <c r="P113" s="1597">
        <f t="shared" si="30"/>
        <v>0</v>
      </c>
      <c r="Q113" s="1597">
        <f t="shared" si="31"/>
        <v>0</v>
      </c>
      <c r="R113" s="1597">
        <f t="shared" si="32"/>
        <v>0</v>
      </c>
      <c r="S113" s="1425"/>
      <c r="T113" s="1232"/>
      <c r="U113" s="1479"/>
      <c r="V113" s="1232">
        <f t="shared" si="33"/>
        <v>0</v>
      </c>
      <c r="W113" s="1425"/>
      <c r="X113" s="1366"/>
      <c r="Y113" s="1426" t="str">
        <f t="shared" si="35"/>
        <v/>
      </c>
      <c r="Z113" s="1427"/>
      <c r="AA113" s="1234">
        <f t="shared" si="36"/>
        <v>0</v>
      </c>
      <c r="AB113" s="1428" t="str">
        <f t="shared" si="37"/>
        <v/>
      </c>
      <c r="AC113" s="1423">
        <f t="shared" si="23"/>
        <v>0</v>
      </c>
      <c r="AD113" s="1423">
        <f t="shared" si="24"/>
        <v>0</v>
      </c>
      <c r="AE113" s="1423"/>
      <c r="AF113" s="1423">
        <f t="shared" si="25"/>
        <v>0</v>
      </c>
      <c r="AG113" s="1423"/>
      <c r="AH113" s="1423">
        <f t="shared" si="26"/>
        <v>0</v>
      </c>
      <c r="AI113" s="1434"/>
    </row>
    <row r="114" spans="1:40" s="1417" customFormat="1" ht="13.8">
      <c r="A114" s="2141"/>
      <c r="B114" s="1268" t="s">
        <v>2198</v>
      </c>
      <c r="C114" s="1241" t="s">
        <v>3571</v>
      </c>
      <c r="D114" s="1245" t="s">
        <v>38</v>
      </c>
      <c r="E114" s="1418">
        <v>200</v>
      </c>
      <c r="F114" s="1592">
        <v>11.99</v>
      </c>
      <c r="G114" s="1487">
        <v>12.45</v>
      </c>
      <c r="H114" s="1419">
        <v>12.69</v>
      </c>
      <c r="I114" s="1597">
        <f t="shared" si="21"/>
        <v>2398</v>
      </c>
      <c r="J114" s="1597">
        <f t="shared" si="22"/>
        <v>2490</v>
      </c>
      <c r="K114" s="1597">
        <v>0</v>
      </c>
      <c r="L114" s="1597">
        <f t="shared" si="27"/>
        <v>0</v>
      </c>
      <c r="M114" s="1597">
        <v>200</v>
      </c>
      <c r="N114" s="1597">
        <f t="shared" si="28"/>
        <v>200</v>
      </c>
      <c r="O114" s="1597">
        <f t="shared" si="29"/>
        <v>0</v>
      </c>
      <c r="P114" s="1597">
        <f t="shared" si="30"/>
        <v>2490</v>
      </c>
      <c r="Q114" s="1597">
        <f t="shared" si="31"/>
        <v>2538</v>
      </c>
      <c r="R114" s="1597">
        <f t="shared" si="32"/>
        <v>2538</v>
      </c>
      <c r="S114" s="1425">
        <v>0</v>
      </c>
      <c r="T114" s="1232">
        <v>0</v>
      </c>
      <c r="U114" s="1479"/>
      <c r="V114" s="1232">
        <f t="shared" si="33"/>
        <v>0</v>
      </c>
      <c r="W114" s="1425">
        <f>S114+U114</f>
        <v>0</v>
      </c>
      <c r="X114" s="1366">
        <f t="shared" si="34"/>
        <v>0</v>
      </c>
      <c r="Y114" s="1426">
        <f t="shared" si="35"/>
        <v>0</v>
      </c>
      <c r="Z114" s="1427">
        <f>+E114-W114</f>
        <v>200</v>
      </c>
      <c r="AA114" s="1234">
        <f t="shared" si="36"/>
        <v>2538</v>
      </c>
      <c r="AB114" s="1428">
        <f t="shared" si="37"/>
        <v>1</v>
      </c>
      <c r="AC114" s="1423">
        <f t="shared" si="23"/>
        <v>0</v>
      </c>
      <c r="AD114" s="1423">
        <f t="shared" si="24"/>
        <v>0</v>
      </c>
      <c r="AE114" s="1423">
        <v>2538</v>
      </c>
      <c r="AF114" s="1423">
        <f t="shared" si="25"/>
        <v>0</v>
      </c>
      <c r="AG114" s="1423">
        <v>12.69</v>
      </c>
      <c r="AH114" s="1423">
        <f t="shared" si="26"/>
        <v>0</v>
      </c>
      <c r="AI114" s="1434"/>
    </row>
    <row r="115" spans="1:40" s="1417" customFormat="1" ht="13.8">
      <c r="A115" s="2141"/>
      <c r="B115" s="1268" t="s">
        <v>2824</v>
      </c>
      <c r="C115" s="1241" t="s">
        <v>3572</v>
      </c>
      <c r="D115" s="1245" t="s">
        <v>38</v>
      </c>
      <c r="E115" s="1418">
        <v>200</v>
      </c>
      <c r="F115" s="1592">
        <v>7.3</v>
      </c>
      <c r="G115" s="1487">
        <v>7.76</v>
      </c>
      <c r="H115" s="1419">
        <v>8</v>
      </c>
      <c r="I115" s="1597">
        <f t="shared" si="21"/>
        <v>1460</v>
      </c>
      <c r="J115" s="1597">
        <f t="shared" si="22"/>
        <v>1552</v>
      </c>
      <c r="K115" s="1597">
        <v>0</v>
      </c>
      <c r="L115" s="1597">
        <f t="shared" si="27"/>
        <v>0</v>
      </c>
      <c r="M115" s="1597">
        <v>200</v>
      </c>
      <c r="N115" s="1597">
        <f t="shared" si="28"/>
        <v>200</v>
      </c>
      <c r="O115" s="1597">
        <f t="shared" si="29"/>
        <v>0</v>
      </c>
      <c r="P115" s="1597">
        <f t="shared" si="30"/>
        <v>1552</v>
      </c>
      <c r="Q115" s="1597">
        <f t="shared" si="31"/>
        <v>1600</v>
      </c>
      <c r="R115" s="1597">
        <f t="shared" si="32"/>
        <v>1600</v>
      </c>
      <c r="S115" s="1425">
        <v>0</v>
      </c>
      <c r="T115" s="1232">
        <v>0</v>
      </c>
      <c r="U115" s="1479"/>
      <c r="V115" s="1232">
        <f t="shared" si="33"/>
        <v>0</v>
      </c>
      <c r="W115" s="1425">
        <f>S115+U115</f>
        <v>0</v>
      </c>
      <c r="X115" s="1366">
        <f t="shared" si="34"/>
        <v>0</v>
      </c>
      <c r="Y115" s="1426">
        <f t="shared" si="35"/>
        <v>0</v>
      </c>
      <c r="Z115" s="1427">
        <f>+E115-W115</f>
        <v>200</v>
      </c>
      <c r="AA115" s="1234">
        <f t="shared" si="36"/>
        <v>1600</v>
      </c>
      <c r="AB115" s="1428">
        <f t="shared" si="37"/>
        <v>1</v>
      </c>
      <c r="AC115" s="1423">
        <f t="shared" si="23"/>
        <v>0</v>
      </c>
      <c r="AD115" s="1423">
        <f t="shared" si="24"/>
        <v>0</v>
      </c>
      <c r="AE115" s="1423">
        <v>1600</v>
      </c>
      <c r="AF115" s="1423">
        <f t="shared" si="25"/>
        <v>0</v>
      </c>
      <c r="AG115" s="1423">
        <v>8</v>
      </c>
      <c r="AH115" s="1423">
        <f t="shared" si="26"/>
        <v>0</v>
      </c>
      <c r="AI115" s="1434"/>
    </row>
    <row r="116" spans="1:40" s="1417" customFormat="1" ht="13.8">
      <c r="A116" s="2141"/>
      <c r="B116" s="1268" t="s">
        <v>2825</v>
      </c>
      <c r="C116" s="1241" t="s">
        <v>3573</v>
      </c>
      <c r="D116" s="1245" t="s">
        <v>38</v>
      </c>
      <c r="E116" s="1418">
        <v>200</v>
      </c>
      <c r="F116" s="1592">
        <v>7.3</v>
      </c>
      <c r="G116" s="1487">
        <v>7.76</v>
      </c>
      <c r="H116" s="1419">
        <v>8</v>
      </c>
      <c r="I116" s="1597">
        <f t="shared" si="21"/>
        <v>1460</v>
      </c>
      <c r="J116" s="1597">
        <f t="shared" si="22"/>
        <v>1552</v>
      </c>
      <c r="K116" s="1597">
        <v>0</v>
      </c>
      <c r="L116" s="1597">
        <f t="shared" si="27"/>
        <v>0</v>
      </c>
      <c r="M116" s="1597">
        <v>200</v>
      </c>
      <c r="N116" s="1597">
        <f t="shared" si="28"/>
        <v>200</v>
      </c>
      <c r="O116" s="1597">
        <f t="shared" si="29"/>
        <v>0</v>
      </c>
      <c r="P116" s="1597">
        <f t="shared" si="30"/>
        <v>1552</v>
      </c>
      <c r="Q116" s="1597">
        <f t="shared" si="31"/>
        <v>1600</v>
      </c>
      <c r="R116" s="1597">
        <f t="shared" si="32"/>
        <v>1600</v>
      </c>
      <c r="S116" s="1425">
        <v>0</v>
      </c>
      <c r="T116" s="1232">
        <v>0</v>
      </c>
      <c r="U116" s="1479"/>
      <c r="V116" s="1232">
        <f t="shared" si="33"/>
        <v>0</v>
      </c>
      <c r="W116" s="1425">
        <f>S116+U116</f>
        <v>0</v>
      </c>
      <c r="X116" s="1366">
        <f t="shared" si="34"/>
        <v>0</v>
      </c>
      <c r="Y116" s="1426">
        <f t="shared" si="35"/>
        <v>0</v>
      </c>
      <c r="Z116" s="1427">
        <f>+E116-W116</f>
        <v>200</v>
      </c>
      <c r="AA116" s="1234">
        <f t="shared" si="36"/>
        <v>1600</v>
      </c>
      <c r="AB116" s="1428">
        <f t="shared" si="37"/>
        <v>1</v>
      </c>
      <c r="AC116" s="1423">
        <f t="shared" si="23"/>
        <v>0</v>
      </c>
      <c r="AD116" s="1423">
        <f t="shared" si="24"/>
        <v>0</v>
      </c>
      <c r="AE116" s="1423">
        <v>1600</v>
      </c>
      <c r="AF116" s="1423">
        <f t="shared" si="25"/>
        <v>0</v>
      </c>
      <c r="AG116" s="1423">
        <v>8</v>
      </c>
      <c r="AH116" s="1423">
        <f t="shared" si="26"/>
        <v>0</v>
      </c>
      <c r="AI116" s="1434"/>
    </row>
    <row r="117" spans="1:40" s="1417" customFormat="1" ht="14.4" thickBot="1">
      <c r="A117" s="2141"/>
      <c r="B117" s="1268" t="s">
        <v>2826</v>
      </c>
      <c r="C117" s="1241" t="s">
        <v>3548</v>
      </c>
      <c r="D117" s="1245" t="s">
        <v>38</v>
      </c>
      <c r="E117" s="1572">
        <v>200</v>
      </c>
      <c r="F117" s="1593">
        <v>8.11</v>
      </c>
      <c r="G117" s="1419">
        <v>8.57</v>
      </c>
      <c r="H117" s="1419">
        <v>8.81</v>
      </c>
      <c r="I117" s="1597">
        <f t="shared" si="21"/>
        <v>1622</v>
      </c>
      <c r="J117" s="1597">
        <f t="shared" si="22"/>
        <v>1714</v>
      </c>
      <c r="K117" s="1597">
        <v>0</v>
      </c>
      <c r="L117" s="1597">
        <f t="shared" si="27"/>
        <v>0</v>
      </c>
      <c r="M117" s="1597">
        <v>200</v>
      </c>
      <c r="N117" s="1597">
        <f t="shared" si="28"/>
        <v>200</v>
      </c>
      <c r="O117" s="1597">
        <f t="shared" si="29"/>
        <v>0</v>
      </c>
      <c r="P117" s="1597">
        <f t="shared" si="30"/>
        <v>1714</v>
      </c>
      <c r="Q117" s="1597">
        <f t="shared" si="31"/>
        <v>1762</v>
      </c>
      <c r="R117" s="1597">
        <f t="shared" si="32"/>
        <v>1762</v>
      </c>
      <c r="S117" s="1425">
        <v>0</v>
      </c>
      <c r="T117" s="1232">
        <v>0</v>
      </c>
      <c r="U117" s="1479"/>
      <c r="V117" s="1232">
        <f t="shared" si="33"/>
        <v>0</v>
      </c>
      <c r="W117" s="1425">
        <f>S117+U117</f>
        <v>0</v>
      </c>
      <c r="X117" s="1366">
        <f t="shared" si="34"/>
        <v>0</v>
      </c>
      <c r="Y117" s="1426">
        <f t="shared" si="35"/>
        <v>0</v>
      </c>
      <c r="Z117" s="1427">
        <f>+E117-W117</f>
        <v>200</v>
      </c>
      <c r="AA117" s="1234">
        <f t="shared" si="36"/>
        <v>1762</v>
      </c>
      <c r="AB117" s="1428">
        <f t="shared" si="37"/>
        <v>1</v>
      </c>
      <c r="AC117" s="1423">
        <f t="shared" si="23"/>
        <v>0</v>
      </c>
      <c r="AD117" s="1423">
        <f t="shared" si="24"/>
        <v>0</v>
      </c>
      <c r="AE117" s="1423">
        <v>1762</v>
      </c>
      <c r="AF117" s="1423">
        <f t="shared" si="25"/>
        <v>0</v>
      </c>
      <c r="AG117" s="1423">
        <v>8.81</v>
      </c>
      <c r="AH117" s="1423">
        <f t="shared" si="26"/>
        <v>0</v>
      </c>
      <c r="AI117" s="1434"/>
    </row>
    <row r="118" spans="1:40" s="561" customFormat="1" ht="13.8">
      <c r="A118" s="2143"/>
      <c r="B118" s="1253"/>
      <c r="C118" s="1327" t="s">
        <v>59</v>
      </c>
      <c r="D118" s="1328"/>
      <c r="E118" s="1328"/>
      <c r="F118" s="1328"/>
      <c r="G118" s="1329"/>
      <c r="H118" s="1329"/>
      <c r="I118" s="1598">
        <f>(SUM(I14:I117))</f>
        <v>367517.34999999992</v>
      </c>
      <c r="J118" s="1598">
        <f>(SUM(J14:J117))</f>
        <v>377604.71</v>
      </c>
      <c r="K118" s="1598"/>
      <c r="L118" s="1598"/>
      <c r="M118" s="1598"/>
      <c r="N118" s="1598"/>
      <c r="O118" s="1598">
        <f>(SUM(O14:O117))</f>
        <v>5668.03</v>
      </c>
      <c r="P118" s="1598">
        <f>(SUM(P14:P117))</f>
        <v>371936.68000000011</v>
      </c>
      <c r="Q118" s="1598">
        <f>(SUM(Q14:Q117))</f>
        <v>377147.77999999991</v>
      </c>
      <c r="R118" s="2302">
        <f>(SUM(R14:R117))</f>
        <v>382815.81000000006</v>
      </c>
      <c r="S118" s="1331">
        <f>+T118/R118</f>
        <v>0.44943877448530661</v>
      </c>
      <c r="T118" s="1330">
        <f>SUM(T14:T117)</f>
        <v>172052.26850000001</v>
      </c>
      <c r="U118" s="1439">
        <f>V118/R118</f>
        <v>0.13573969241239017</v>
      </c>
      <c r="V118" s="1430">
        <f>SUM(V14:V117)</f>
        <v>51963.300300000003</v>
      </c>
      <c r="W118" s="1332">
        <f>+X118/R118</f>
        <v>0.58517846689769681</v>
      </c>
      <c r="X118" s="1330">
        <f>SUM(X14:X117)</f>
        <v>224015.56880000001</v>
      </c>
      <c r="Y118" s="1332"/>
      <c r="Z118" s="1254"/>
      <c r="AA118" s="1329">
        <f>SUM(AA14:AA117)+0.09</f>
        <v>158800.31180000005</v>
      </c>
      <c r="AB118" s="1376">
        <f>+AA118/R118</f>
        <v>0.41482171752519842</v>
      </c>
      <c r="AC118" s="562">
        <f t="shared" si="23"/>
        <v>-7.060000000637956E-2</v>
      </c>
      <c r="AD118" s="562"/>
      <c r="AE118" s="562"/>
      <c r="AF118" s="562"/>
      <c r="AG118" s="562"/>
      <c r="AH118" s="562"/>
      <c r="AI118" s="1351"/>
      <c r="AJ118" s="562"/>
      <c r="AN118" s="1486" t="e">
        <f>#REF!+#REF!</f>
        <v>#REF!</v>
      </c>
    </row>
    <row r="119" spans="1:40" s="561" customFormat="1" ht="12.75" customHeight="1">
      <c r="A119" s="2143"/>
      <c r="B119" s="1244"/>
      <c r="C119" s="1246"/>
      <c r="D119" s="1247"/>
      <c r="E119" s="1248"/>
      <c r="F119" s="1248"/>
      <c r="G119" s="1482"/>
      <c r="H119" s="1249"/>
      <c r="I119" s="1599"/>
      <c r="J119" s="1599"/>
      <c r="K119" s="1599"/>
      <c r="L119" s="1599"/>
      <c r="M119" s="1599"/>
      <c r="N119" s="1599"/>
      <c r="O119" s="1599"/>
      <c r="P119" s="1599"/>
      <c r="Q119" s="1599"/>
      <c r="R119" s="1599"/>
      <c r="S119" s="1251"/>
      <c r="T119" s="1252"/>
      <c r="U119" s="1251"/>
      <c r="V119" s="1433"/>
      <c r="W119" s="1247"/>
      <c r="X119" s="1251"/>
      <c r="Y119" s="1251"/>
      <c r="Z119" s="1249"/>
      <c r="AA119" s="1246"/>
      <c r="AB119" s="1246"/>
      <c r="AC119" s="562"/>
      <c r="AD119" s="562"/>
      <c r="AE119" s="562"/>
      <c r="AF119" s="562"/>
      <c r="AG119" s="562"/>
      <c r="AH119" s="562"/>
      <c r="AI119" s="1173"/>
    </row>
    <row r="120" spans="1:40" s="561" customFormat="1" ht="12.75" customHeight="1">
      <c r="A120" s="2143"/>
      <c r="B120" s="1580"/>
      <c r="C120" s="1581"/>
      <c r="D120" s="1582"/>
      <c r="E120" s="1583"/>
      <c r="F120" s="1583"/>
      <c r="G120" s="1584"/>
      <c r="H120" s="1585"/>
      <c r="I120" s="1600"/>
      <c r="J120" s="1600"/>
      <c r="K120" s="1600"/>
      <c r="L120" s="1600"/>
      <c r="M120" s="1600"/>
      <c r="N120" s="1600"/>
      <c r="O120" s="1600"/>
      <c r="P120" s="1600"/>
      <c r="Q120" s="1600"/>
      <c r="R120" s="1600"/>
      <c r="S120" s="1586"/>
      <c r="T120" s="1587"/>
      <c r="U120" s="1586"/>
      <c r="V120" s="1589"/>
      <c r="W120" s="1582"/>
      <c r="X120" s="1586"/>
      <c r="Y120" s="1586"/>
      <c r="Z120" s="1585"/>
      <c r="AA120" s="1581"/>
      <c r="AB120" s="1581"/>
      <c r="AC120" s="562"/>
      <c r="AD120" s="562"/>
      <c r="AE120" s="562"/>
      <c r="AF120" s="562"/>
      <c r="AG120" s="562"/>
      <c r="AH120" s="562"/>
      <c r="AI120" s="1173"/>
    </row>
    <row r="121" spans="1:40" s="561" customFormat="1" ht="12.75" customHeight="1">
      <c r="A121" s="2143"/>
      <c r="B121" s="1580"/>
      <c r="C121" s="1581"/>
      <c r="D121" s="1582"/>
      <c r="E121" s="1583"/>
      <c r="F121" s="1583"/>
      <c r="G121" s="1584"/>
      <c r="H121" s="1585"/>
      <c r="I121" s="1600"/>
      <c r="J121" s="1600"/>
      <c r="K121" s="1600"/>
      <c r="L121" s="1600"/>
      <c r="M121" s="1600"/>
      <c r="N121" s="1600"/>
      <c r="O121" s="1600"/>
      <c r="P121" s="1604">
        <f>O118+P118</f>
        <v>377604.71000000014</v>
      </c>
      <c r="Q121" s="1604">
        <f>Q118-P118</f>
        <v>5211.0999999998021</v>
      </c>
      <c r="R121" s="1604">
        <f>R118-P118-O118</f>
        <v>5211.0999999999467</v>
      </c>
      <c r="S121" s="1586"/>
      <c r="T121" s="1587"/>
      <c r="U121" s="1586"/>
      <c r="V121" s="1589"/>
      <c r="W121" s="1582"/>
      <c r="X121" s="1586"/>
      <c r="Y121" s="1586"/>
      <c r="Z121" s="1585"/>
      <c r="AA121" s="1581"/>
      <c r="AB121" s="1581"/>
      <c r="AC121" s="562"/>
      <c r="AD121" s="562"/>
      <c r="AE121" s="562"/>
      <c r="AF121" s="562"/>
      <c r="AG121" s="562"/>
      <c r="AH121" s="562"/>
      <c r="AI121" s="1173"/>
    </row>
    <row r="122" spans="1:40" s="561" customFormat="1" ht="20.100000000000001" customHeight="1">
      <c r="A122" s="2143"/>
      <c r="B122" s="1590" t="s">
        <v>3730</v>
      </c>
      <c r="C122" s="1591" t="s">
        <v>3729</v>
      </c>
      <c r="D122" s="1582"/>
      <c r="E122" s="1583"/>
      <c r="F122" s="1583"/>
      <c r="G122" s="1584"/>
      <c r="H122" s="1585"/>
      <c r="I122" s="1600"/>
      <c r="J122" s="1600"/>
      <c r="K122" s="1600"/>
      <c r="L122" s="1600"/>
      <c r="M122" s="1600"/>
      <c r="N122" s="1600"/>
      <c r="O122" s="1600"/>
      <c r="P122" s="1600"/>
      <c r="Q122" s="1600"/>
      <c r="R122" s="1605"/>
      <c r="S122" s="1586"/>
      <c r="T122" s="1587"/>
      <c r="U122" s="1586"/>
      <c r="V122" s="1589"/>
      <c r="W122" s="1582"/>
      <c r="X122" s="1586"/>
      <c r="Y122" s="1586"/>
      <c r="Z122" s="1585"/>
      <c r="AA122" s="1581"/>
      <c r="AB122" s="1581"/>
      <c r="AC122" s="562"/>
      <c r="AD122" s="562"/>
      <c r="AE122" s="562"/>
      <c r="AF122" s="562"/>
      <c r="AG122" s="562"/>
      <c r="AH122" s="562"/>
      <c r="AI122" s="1173"/>
    </row>
    <row r="123" spans="1:40" s="561" customFormat="1" ht="24.6" customHeight="1">
      <c r="A123" s="2143"/>
      <c r="B123" s="1591" t="s">
        <v>3731</v>
      </c>
      <c r="D123" s="1582"/>
      <c r="E123" s="1583"/>
      <c r="F123" s="1583"/>
      <c r="G123" s="1584"/>
      <c r="H123" s="1585"/>
      <c r="I123" s="1600"/>
      <c r="J123" s="1600"/>
      <c r="K123" s="1600"/>
      <c r="L123" s="1600"/>
      <c r="M123" s="1600"/>
      <c r="N123" s="1600"/>
      <c r="O123" s="1600"/>
      <c r="P123" s="1600"/>
      <c r="Q123" s="1600"/>
      <c r="R123" s="1606"/>
      <c r="S123" s="1586"/>
      <c r="T123" s="1587"/>
      <c r="U123" s="1586"/>
      <c r="V123" s="1589"/>
      <c r="W123" s="1582"/>
      <c r="X123" s="1586"/>
      <c r="Y123" s="1586"/>
      <c r="Z123" s="1585"/>
      <c r="AA123" s="1581"/>
      <c r="AB123" s="1581"/>
      <c r="AC123" s="562"/>
      <c r="AD123" s="562"/>
      <c r="AE123" s="562"/>
      <c r="AF123" s="562"/>
      <c r="AG123" s="562"/>
      <c r="AH123" s="562"/>
      <c r="AI123" s="1173"/>
    </row>
    <row r="124" spans="1:40" s="561" customFormat="1" ht="12.75" customHeight="1">
      <c r="A124" s="2143"/>
      <c r="B124" s="1580"/>
      <c r="C124" s="1581"/>
      <c r="D124" s="1582"/>
      <c r="E124" s="1583"/>
      <c r="F124" s="1583"/>
      <c r="G124" s="1584"/>
      <c r="H124" s="1585"/>
      <c r="I124" s="1600"/>
      <c r="J124" s="1600"/>
      <c r="K124" s="1600"/>
      <c r="L124" s="1600"/>
      <c r="M124" s="1600"/>
      <c r="N124" s="1600"/>
      <c r="O124" s="1600"/>
      <c r="P124" s="1600"/>
      <c r="Q124" s="1600"/>
      <c r="R124" s="1600"/>
      <c r="S124" s="1586"/>
      <c r="T124" s="1587"/>
      <c r="U124" s="1586"/>
      <c r="V124" s="1589"/>
      <c r="W124" s="1582"/>
      <c r="X124" s="1586"/>
      <c r="Y124" s="1586"/>
      <c r="Z124" s="1585"/>
      <c r="AA124" s="1581"/>
      <c r="AB124" s="1581"/>
      <c r="AC124" s="562"/>
      <c r="AD124" s="562"/>
      <c r="AE124" s="562"/>
      <c r="AF124" s="562"/>
      <c r="AG124" s="562"/>
      <c r="AH124" s="562"/>
      <c r="AI124" s="1173"/>
    </row>
    <row r="125" spans="1:40" s="561" customFormat="1" ht="12.75" hidden="1" customHeight="1">
      <c r="A125" s="2143"/>
      <c r="B125" s="1580"/>
      <c r="C125" s="1581"/>
      <c r="D125" s="1582"/>
      <c r="E125" s="1583"/>
      <c r="F125" s="1583"/>
      <c r="G125" s="1584"/>
      <c r="H125" s="1585"/>
      <c r="I125" s="1600"/>
      <c r="J125" s="1600"/>
      <c r="K125" s="1600"/>
      <c r="L125" s="1600"/>
      <c r="M125" s="1600"/>
      <c r="N125" s="1600"/>
      <c r="O125" s="1600"/>
      <c r="P125" s="1600"/>
      <c r="Q125" s="1600"/>
      <c r="R125" s="1600"/>
      <c r="S125" s="1586"/>
      <c r="T125" s="1587">
        <v>17723.849999999999</v>
      </c>
      <c r="U125" s="1588"/>
      <c r="V125" s="1589"/>
      <c r="W125" s="1582"/>
      <c r="X125" s="1586"/>
      <c r="Y125" s="1586"/>
      <c r="Z125" s="1585"/>
      <c r="AA125" s="1581"/>
      <c r="AB125" s="1581"/>
      <c r="AC125" s="562"/>
      <c r="AD125" s="562"/>
      <c r="AE125" s="562"/>
      <c r="AF125" s="562"/>
      <c r="AG125" s="562"/>
      <c r="AH125" s="562"/>
      <c r="AI125" s="1173"/>
    </row>
    <row r="126" spans="1:40" s="561" customFormat="1" ht="10.199999999999999" hidden="1">
      <c r="A126" s="2143"/>
      <c r="D126" s="1173"/>
      <c r="E126" s="562"/>
      <c r="F126" s="562"/>
      <c r="G126" s="1483"/>
      <c r="H126" s="562"/>
      <c r="I126" s="1601"/>
      <c r="J126" s="1601"/>
      <c r="K126" s="1601"/>
      <c r="L126" s="1601"/>
      <c r="M126" s="1601"/>
      <c r="N126" s="1601"/>
      <c r="O126" s="1601"/>
      <c r="P126" s="1601"/>
      <c r="Q126" s="1601"/>
      <c r="R126" s="1601"/>
      <c r="S126" s="1173"/>
      <c r="T126" s="1173"/>
      <c r="U126" s="1173"/>
      <c r="V126" s="1173"/>
      <c r="W126" s="1173"/>
      <c r="X126" s="1173">
        <v>6805359.3099999996</v>
      </c>
      <c r="Y126" s="1173"/>
      <c r="AA126" s="562"/>
    </row>
    <row r="127" spans="1:40" s="18" customFormat="1" ht="20.100000000000001" hidden="1" customHeight="1">
      <c r="A127" s="2144"/>
      <c r="D127" s="97"/>
      <c r="E127" s="26"/>
      <c r="F127" s="26"/>
      <c r="G127" s="1483"/>
      <c r="H127" s="26"/>
      <c r="I127" s="1601"/>
      <c r="J127" s="1601"/>
      <c r="K127" s="1601"/>
      <c r="L127" s="1601"/>
      <c r="M127" s="1601"/>
      <c r="N127" s="1601"/>
      <c r="O127" s="1601"/>
      <c r="P127" s="1601"/>
      <c r="Q127" s="1601"/>
      <c r="R127" s="1601"/>
      <c r="S127" s="1208"/>
      <c r="T127" s="97"/>
      <c r="U127" s="1351"/>
      <c r="V127" s="524"/>
      <c r="W127" s="524"/>
      <c r="X127" s="524">
        <f>+X126-X118</f>
        <v>6581343.7412</v>
      </c>
      <c r="Y127" s="524"/>
      <c r="AA127" s="26"/>
    </row>
    <row r="128" spans="1:40" s="18" customFormat="1">
      <c r="A128" s="2144"/>
      <c r="D128" s="97"/>
      <c r="E128" s="26"/>
      <c r="F128" s="26"/>
      <c r="G128" s="1483"/>
      <c r="H128" s="26"/>
      <c r="I128" s="1601"/>
      <c r="J128" s="1601"/>
      <c r="K128" s="1601"/>
      <c r="L128" s="1601"/>
      <c r="M128" s="1601"/>
      <c r="N128" s="1601"/>
      <c r="O128" s="1601"/>
      <c r="P128" s="1601"/>
      <c r="Q128" s="1601"/>
      <c r="R128" s="1601"/>
      <c r="S128" s="1208"/>
      <c r="T128" s="1326">
        <f>+T118+V118</f>
        <v>224015.56880000001</v>
      </c>
      <c r="U128" s="1440">
        <f>+X118+AA118</f>
        <v>382815.88060000003</v>
      </c>
      <c r="V128" s="1453"/>
      <c r="W128" s="524"/>
      <c r="X128" s="524"/>
      <c r="Y128" s="524"/>
      <c r="AA128" s="26"/>
    </row>
    <row r="129" spans="1:35" s="18" customFormat="1" ht="15.6">
      <c r="A129" s="2144"/>
      <c r="D129" s="1325"/>
      <c r="E129" s="1478"/>
      <c r="F129" s="1478"/>
      <c r="H129" s="1478"/>
      <c r="I129" s="1602"/>
      <c r="J129" s="1602"/>
      <c r="K129" s="1602"/>
      <c r="L129" s="1602"/>
      <c r="M129" s="1602"/>
      <c r="N129" s="1602"/>
      <c r="O129" s="1602"/>
      <c r="P129" s="1602"/>
      <c r="Q129" s="1602"/>
      <c r="R129" s="1602"/>
      <c r="S129" s="1209"/>
      <c r="T129" s="1326"/>
      <c r="U129" s="1440"/>
      <c r="V129" s="524"/>
      <c r="W129" s="1324"/>
      <c r="X129" s="524"/>
      <c r="Y129" s="524"/>
      <c r="AB129" s="200"/>
    </row>
    <row r="130" spans="1:35" s="18" customFormat="1">
      <c r="A130" s="2144"/>
      <c r="D130" s="97"/>
      <c r="E130" s="26"/>
      <c r="F130" s="26"/>
      <c r="G130" s="1483"/>
      <c r="H130" s="26"/>
      <c r="I130" s="1601"/>
      <c r="J130" s="1601"/>
      <c r="K130" s="1601"/>
      <c r="L130" s="1601"/>
      <c r="M130" s="1601"/>
      <c r="N130" s="1601"/>
      <c r="O130" s="1601"/>
      <c r="P130" s="1601"/>
      <c r="Q130" s="1601"/>
      <c r="R130" s="1601"/>
      <c r="S130" s="1209"/>
      <c r="T130" s="1377"/>
      <c r="U130" s="1441"/>
      <c r="V130" s="524"/>
      <c r="W130" s="524"/>
      <c r="X130" s="524"/>
      <c r="Y130" s="524"/>
      <c r="AA130" s="26"/>
    </row>
    <row r="131" spans="1:35" s="18" customFormat="1">
      <c r="A131" s="2144"/>
      <c r="D131" s="1216"/>
      <c r="E131" s="1216"/>
      <c r="F131" s="1216"/>
      <c r="G131" s="1484"/>
      <c r="H131" s="1216"/>
      <c r="I131" s="1603"/>
      <c r="J131" s="1603"/>
      <c r="K131" s="1603"/>
      <c r="L131" s="1603"/>
      <c r="M131" s="1603"/>
      <c r="N131" s="1603"/>
      <c r="O131" s="1603"/>
      <c r="P131" s="1603"/>
      <c r="Q131" s="1603"/>
      <c r="R131" s="1603"/>
      <c r="S131" s="1209"/>
      <c r="T131" s="1412"/>
      <c r="U131" s="1440"/>
      <c r="V131" s="524"/>
      <c r="W131" s="524"/>
      <c r="X131" s="524"/>
      <c r="Y131" s="524"/>
    </row>
    <row r="132" spans="1:35">
      <c r="S132" s="1235"/>
      <c r="T132" s="1322"/>
      <c r="V132" s="1414"/>
      <c r="W132" s="1236"/>
      <c r="X132" s="1236"/>
      <c r="Y132" s="1236"/>
      <c r="Z132" s="1236"/>
      <c r="AI132" s="1215"/>
    </row>
    <row r="133" spans="1:35">
      <c r="S133" s="1235"/>
      <c r="T133" s="1322"/>
      <c r="U133" s="1442"/>
      <c r="V133" s="1414"/>
      <c r="W133" s="1236"/>
      <c r="X133" s="1236"/>
      <c r="Y133" s="1236"/>
      <c r="Z133" s="1236"/>
      <c r="AI133" s="1215"/>
    </row>
    <row r="134" spans="1:35">
      <c r="S134" s="1235"/>
      <c r="T134" s="1323"/>
      <c r="U134" s="1442"/>
      <c r="V134" s="1414"/>
      <c r="W134" s="1324"/>
      <c r="X134" s="1236"/>
      <c r="Y134" s="1236"/>
      <c r="Z134" s="1236"/>
      <c r="AI134" s="1215"/>
    </row>
    <row r="135" spans="1:35" ht="15.6">
      <c r="D135" s="1237"/>
      <c r="S135" s="1235"/>
      <c r="T135" s="1302"/>
      <c r="U135" s="1442"/>
      <c r="V135" s="1414"/>
      <c r="W135" s="1236"/>
      <c r="X135" s="1236"/>
      <c r="Y135" s="1236"/>
      <c r="Z135" s="1236"/>
      <c r="AI135" s="1215"/>
    </row>
    <row r="136" spans="1:35">
      <c r="S136" s="1235"/>
      <c r="T136" s="18"/>
      <c r="U136" s="1442"/>
      <c r="V136" s="1414"/>
      <c r="W136" s="1236"/>
      <c r="X136" s="1236"/>
      <c r="Y136" s="1236"/>
      <c r="Z136" s="1236"/>
      <c r="AI136" s="1215"/>
    </row>
    <row r="137" spans="1:35">
      <c r="S137" s="1235"/>
      <c r="T137" s="1235"/>
      <c r="U137" s="1442"/>
      <c r="V137" s="1414"/>
      <c r="W137" s="1236"/>
      <c r="X137" s="1236"/>
      <c r="Y137" s="1236"/>
      <c r="Z137" s="1236"/>
      <c r="AI137" s="1215"/>
    </row>
    <row r="138" spans="1:35">
      <c r="S138" s="1235"/>
      <c r="T138" s="1235"/>
      <c r="U138" s="1442"/>
      <c r="V138" s="1414"/>
      <c r="W138" s="1236"/>
      <c r="X138" s="1236"/>
      <c r="Y138" s="1236"/>
      <c r="Z138" s="1236"/>
      <c r="AI138" s="1215"/>
    </row>
    <row r="139" spans="1:35">
      <c r="S139" s="1235"/>
      <c r="T139" s="1235"/>
      <c r="U139" s="1442"/>
      <c r="V139" s="1414"/>
      <c r="W139" s="1236"/>
      <c r="X139" s="1236"/>
      <c r="Y139" s="1236"/>
      <c r="Z139" s="1236"/>
      <c r="AI139" s="1215"/>
    </row>
    <row r="140" spans="1:35">
      <c r="S140" s="1235"/>
      <c r="T140" s="1235"/>
      <c r="U140" s="1442"/>
      <c r="V140" s="1414"/>
      <c r="W140" s="1236"/>
      <c r="X140" s="1236"/>
      <c r="Y140" s="1236"/>
      <c r="Z140" s="1236"/>
      <c r="AI140" s="1215"/>
    </row>
    <row r="141" spans="1:35">
      <c r="S141" s="1235"/>
      <c r="T141" s="1235"/>
      <c r="U141" s="1442"/>
      <c r="V141" s="1414"/>
      <c r="W141" s="1236"/>
      <c r="X141" s="1236"/>
      <c r="Y141" s="1236"/>
      <c r="Z141" s="1236"/>
      <c r="AI141" s="1215"/>
    </row>
    <row r="142" spans="1:35">
      <c r="S142" s="1235"/>
      <c r="T142" s="1303"/>
      <c r="U142" s="1442"/>
      <c r="V142" s="1414"/>
      <c r="W142" s="1236"/>
      <c r="X142" s="1236"/>
      <c r="Y142" s="1236"/>
      <c r="Z142" s="1236"/>
      <c r="AI142" s="1215"/>
    </row>
    <row r="143" spans="1:35">
      <c r="S143" s="1235"/>
      <c r="T143" s="1235"/>
      <c r="U143" s="1442"/>
      <c r="V143" s="1414"/>
      <c r="W143" s="1236"/>
      <c r="X143" s="1236"/>
      <c r="Y143" s="1236"/>
      <c r="Z143" s="1236"/>
      <c r="AI143" s="1215"/>
    </row>
  </sheetData>
  <autoFilter ref="U1:U143" xr:uid="{00000000-0009-0000-0000-00001D000000}"/>
  <mergeCells count="39">
    <mergeCell ref="N12:N13"/>
    <mergeCell ref="O12:O13"/>
    <mergeCell ref="G12:G13"/>
    <mergeCell ref="Q12:Q13"/>
    <mergeCell ref="M12:M13"/>
    <mergeCell ref="L12:L13"/>
    <mergeCell ref="J12:J13"/>
    <mergeCell ref="P12:P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S11:T11"/>
    <mergeCell ref="AI12:AK12"/>
    <mergeCell ref="B2:AB2"/>
    <mergeCell ref="E4:X4"/>
    <mergeCell ref="AA4:AB4"/>
    <mergeCell ref="B10:B13"/>
    <mergeCell ref="C10:C13"/>
    <mergeCell ref="D10:D13"/>
    <mergeCell ref="E10:R11"/>
    <mergeCell ref="Z10:AB11"/>
    <mergeCell ref="AA12:AA13"/>
    <mergeCell ref="AB12:AB13"/>
    <mergeCell ref="X12:X13"/>
    <mergeCell ref="U11:V11"/>
    <mergeCell ref="I12:I13"/>
  </mergeCells>
  <conditionalFormatting sqref="AB2 AB5:AB1048576">
    <cfRule type="cellIs" dxfId="12" priority="27" operator="lessThan">
      <formula>0</formula>
    </cfRule>
  </conditionalFormatting>
  <conditionalFormatting sqref="Z2 Z4:Z1048576">
    <cfRule type="cellIs" dxfId="11" priority="25" operator="lessThan">
      <formula>0</formula>
    </cfRule>
    <cfRule type="cellIs" dxfId="10" priority="26" operator="lessThan">
      <formula>0</formula>
    </cfRule>
  </conditionalFormatting>
  <conditionalFormatting sqref="AH1:AH1048576">
    <cfRule type="cellIs" dxfId="9" priority="2" operator="lessThan">
      <formula>0</formula>
    </cfRule>
    <cfRule type="cellIs" dxfId="8" priority="3" operator="greaterThan">
      <formula>0</formula>
    </cfRule>
  </conditionalFormatting>
  <conditionalFormatting sqref="AB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58" fitToHeight="0" orientation="landscape" r:id="rId1"/>
  <rowBreaks count="4" manualBreakCount="4">
    <brk id="13" max="27" man="1"/>
    <brk id="56" max="27" man="1"/>
    <brk id="91" max="27" man="1"/>
    <brk id="127" max="31"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pageSetUpPr fitToPage="1"/>
  </sheetPr>
  <dimension ref="A1:AB214"/>
  <sheetViews>
    <sheetView view="pageBreakPreview" topLeftCell="B11" zoomScale="85" zoomScaleNormal="70" zoomScaleSheetLayoutView="85" workbookViewId="0">
      <pane ySplit="1176" topLeftCell="A16" activePane="bottomLeft"/>
      <selection activeCell="J11" sqref="J11:P11"/>
      <selection pane="bottomLeft" activeCell="C31" sqref="C31"/>
    </sheetView>
  </sheetViews>
  <sheetFormatPr baseColWidth="10" defaultRowHeight="13.2"/>
  <cols>
    <col min="1" max="1" width="4.109375" style="1215" customWidth="1"/>
    <col min="2" max="2" width="11.109375" style="1215" customWidth="1"/>
    <col min="3" max="3" width="71.88671875" style="1225" customWidth="1"/>
    <col min="4" max="4" width="9.44140625" style="1218" customWidth="1"/>
    <col min="5" max="5" width="10.5546875" style="1237" customWidth="1"/>
    <col min="6" max="6" width="10.5546875" style="1237" hidden="1" customWidth="1"/>
    <col min="7" max="7" width="10.5546875" style="1237" customWidth="1"/>
    <col min="8" max="8" width="17.44140625" style="1226" hidden="1" customWidth="1"/>
    <col min="9" max="9" width="15.5546875" style="1226" customWidth="1"/>
    <col min="10" max="11" width="12.5546875" style="1218" customWidth="1"/>
    <col min="12" max="12" width="12.5546875" style="1438" customWidth="1"/>
    <col min="13" max="13" width="12.5546875" style="1413" customWidth="1"/>
    <col min="14" max="16" width="12.5546875" style="1218" customWidth="1"/>
    <col min="17" max="17" width="12.5546875" style="1215" customWidth="1"/>
    <col min="18" max="18" width="13.5546875" style="1215" customWidth="1"/>
    <col min="19" max="20" width="12.5546875" style="1215" customWidth="1"/>
    <col min="21" max="21" width="13" style="1215" bestFit="1" customWidth="1"/>
    <col min="22" max="23" width="13" style="1215" customWidth="1"/>
    <col min="24" max="24" width="10.88671875" style="1218"/>
    <col min="25" max="25" width="10.88671875" style="1215"/>
    <col min="26" max="26" width="14.109375" style="1215" customWidth="1"/>
    <col min="27" max="262" width="10.88671875" style="1215"/>
    <col min="263" max="263" width="8.88671875" style="1215" customWidth="1"/>
    <col min="264" max="264" width="50" style="1215" customWidth="1"/>
    <col min="265" max="265" width="6.44140625" style="1215" bestFit="1" customWidth="1"/>
    <col min="266" max="266" width="8.88671875" style="1215" customWidth="1"/>
    <col min="267" max="267" width="8.5546875" style="1215" customWidth="1"/>
    <col min="268" max="268" width="11.44140625" style="1215" bestFit="1" customWidth="1"/>
    <col min="269" max="269" width="7.88671875" style="1215" bestFit="1" customWidth="1"/>
    <col min="270" max="270" width="11.5546875" style="1215" bestFit="1" customWidth="1"/>
    <col min="271" max="271" width="8" style="1215" bestFit="1" customWidth="1"/>
    <col min="272" max="272" width="11.5546875" style="1215" bestFit="1" customWidth="1"/>
    <col min="273" max="273" width="8.109375" style="1215" bestFit="1" customWidth="1"/>
    <col min="274" max="274" width="11.5546875" style="1215" bestFit="1" customWidth="1"/>
    <col min="275" max="275" width="8.44140625" style="1215" customWidth="1"/>
    <col min="276" max="276" width="7.44140625" style="1215" bestFit="1" customWidth="1"/>
    <col min="277" max="277" width="11.5546875" style="1215" bestFit="1" customWidth="1"/>
    <col min="278" max="278" width="8.109375" style="1215" customWidth="1"/>
    <col min="279" max="279" width="13" style="1215" bestFit="1" customWidth="1"/>
    <col min="280" max="518" width="10.88671875" style="1215"/>
    <col min="519" max="519" width="8.88671875" style="1215" customWidth="1"/>
    <col min="520" max="520" width="50" style="1215" customWidth="1"/>
    <col min="521" max="521" width="6.44140625" style="1215" bestFit="1" customWidth="1"/>
    <col min="522" max="522" width="8.88671875" style="1215" customWidth="1"/>
    <col min="523" max="523" width="8.5546875" style="1215" customWidth="1"/>
    <col min="524" max="524" width="11.44140625" style="1215" bestFit="1" customWidth="1"/>
    <col min="525" max="525" width="7.88671875" style="1215" bestFit="1" customWidth="1"/>
    <col min="526" max="526" width="11.5546875" style="1215" bestFit="1" customWidth="1"/>
    <col min="527" max="527" width="8" style="1215" bestFit="1" customWidth="1"/>
    <col min="528" max="528" width="11.5546875" style="1215" bestFit="1" customWidth="1"/>
    <col min="529" max="529" width="8.109375" style="1215" bestFit="1" customWidth="1"/>
    <col min="530" max="530" width="11.5546875" style="1215" bestFit="1" customWidth="1"/>
    <col min="531" max="531" width="8.44140625" style="1215" customWidth="1"/>
    <col min="532" max="532" width="7.44140625" style="1215" bestFit="1" customWidth="1"/>
    <col min="533" max="533" width="11.5546875" style="1215" bestFit="1" customWidth="1"/>
    <col min="534" max="534" width="8.109375" style="1215" customWidth="1"/>
    <col min="535" max="535" width="13" style="1215" bestFit="1" customWidth="1"/>
    <col min="536" max="774" width="10.88671875" style="1215"/>
    <col min="775" max="775" width="8.88671875" style="1215" customWidth="1"/>
    <col min="776" max="776" width="50" style="1215" customWidth="1"/>
    <col min="777" max="777" width="6.44140625" style="1215" bestFit="1" customWidth="1"/>
    <col min="778" max="778" width="8.88671875" style="1215" customWidth="1"/>
    <col min="779" max="779" width="8.5546875" style="1215" customWidth="1"/>
    <col min="780" max="780" width="11.44140625" style="1215" bestFit="1" customWidth="1"/>
    <col min="781" max="781" width="7.88671875" style="1215" bestFit="1" customWidth="1"/>
    <col min="782" max="782" width="11.5546875" style="1215" bestFit="1" customWidth="1"/>
    <col min="783" max="783" width="8" style="1215" bestFit="1" customWidth="1"/>
    <col min="784" max="784" width="11.5546875" style="1215" bestFit="1" customWidth="1"/>
    <col min="785" max="785" width="8.109375" style="1215" bestFit="1" customWidth="1"/>
    <col min="786" max="786" width="11.5546875" style="1215" bestFit="1" customWidth="1"/>
    <col min="787" max="787" width="8.44140625" style="1215" customWidth="1"/>
    <col min="788" max="788" width="7.44140625" style="1215" bestFit="1" customWidth="1"/>
    <col min="789" max="789" width="11.5546875" style="1215" bestFit="1" customWidth="1"/>
    <col min="790" max="790" width="8.109375" style="1215" customWidth="1"/>
    <col min="791" max="791" width="13" style="1215" bestFit="1" customWidth="1"/>
    <col min="792" max="1030" width="10.88671875" style="1215"/>
    <col min="1031" max="1031" width="8.88671875" style="1215" customWidth="1"/>
    <col min="1032" max="1032" width="50" style="1215" customWidth="1"/>
    <col min="1033" max="1033" width="6.44140625" style="1215" bestFit="1" customWidth="1"/>
    <col min="1034" max="1034" width="8.88671875" style="1215" customWidth="1"/>
    <col min="1035" max="1035" width="8.5546875" style="1215" customWidth="1"/>
    <col min="1036" max="1036" width="11.44140625" style="1215" bestFit="1" customWidth="1"/>
    <col min="1037" max="1037" width="7.88671875" style="1215" bestFit="1" customWidth="1"/>
    <col min="1038" max="1038" width="11.5546875" style="1215" bestFit="1" customWidth="1"/>
    <col min="1039" max="1039" width="8" style="1215" bestFit="1" customWidth="1"/>
    <col min="1040" max="1040" width="11.5546875" style="1215" bestFit="1" customWidth="1"/>
    <col min="1041" max="1041" width="8.109375" style="1215" bestFit="1" customWidth="1"/>
    <col min="1042" max="1042" width="11.5546875" style="1215" bestFit="1" customWidth="1"/>
    <col min="1043" max="1043" width="8.44140625" style="1215" customWidth="1"/>
    <col min="1044" max="1044" width="7.44140625" style="1215" bestFit="1" customWidth="1"/>
    <col min="1045" max="1045" width="11.5546875" style="1215" bestFit="1" customWidth="1"/>
    <col min="1046" max="1046" width="8.109375" style="1215" customWidth="1"/>
    <col min="1047" max="1047" width="13" style="1215" bestFit="1" customWidth="1"/>
    <col min="1048" max="1286" width="10.88671875" style="1215"/>
    <col min="1287" max="1287" width="8.88671875" style="1215" customWidth="1"/>
    <col min="1288" max="1288" width="50" style="1215" customWidth="1"/>
    <col min="1289" max="1289" width="6.44140625" style="1215" bestFit="1" customWidth="1"/>
    <col min="1290" max="1290" width="8.88671875" style="1215" customWidth="1"/>
    <col min="1291" max="1291" width="8.5546875" style="1215" customWidth="1"/>
    <col min="1292" max="1292" width="11.44140625" style="1215" bestFit="1" customWidth="1"/>
    <col min="1293" max="1293" width="7.88671875" style="1215" bestFit="1" customWidth="1"/>
    <col min="1294" max="1294" width="11.5546875" style="1215" bestFit="1" customWidth="1"/>
    <col min="1295" max="1295" width="8" style="1215" bestFit="1" customWidth="1"/>
    <col min="1296" max="1296" width="11.5546875" style="1215" bestFit="1" customWidth="1"/>
    <col min="1297" max="1297" width="8.109375" style="1215" bestFit="1" customWidth="1"/>
    <col min="1298" max="1298" width="11.5546875" style="1215" bestFit="1" customWidth="1"/>
    <col min="1299" max="1299" width="8.44140625" style="1215" customWidth="1"/>
    <col min="1300" max="1300" width="7.44140625" style="1215" bestFit="1" customWidth="1"/>
    <col min="1301" max="1301" width="11.5546875" style="1215" bestFit="1" customWidth="1"/>
    <col min="1302" max="1302" width="8.109375" style="1215" customWidth="1"/>
    <col min="1303" max="1303" width="13" style="1215" bestFit="1" customWidth="1"/>
    <col min="1304" max="1542" width="10.88671875" style="1215"/>
    <col min="1543" max="1543" width="8.88671875" style="1215" customWidth="1"/>
    <col min="1544" max="1544" width="50" style="1215" customWidth="1"/>
    <col min="1545" max="1545" width="6.44140625" style="1215" bestFit="1" customWidth="1"/>
    <col min="1546" max="1546" width="8.88671875" style="1215" customWidth="1"/>
    <col min="1547" max="1547" width="8.5546875" style="1215" customWidth="1"/>
    <col min="1548" max="1548" width="11.44140625" style="1215" bestFit="1" customWidth="1"/>
    <col min="1549" max="1549" width="7.88671875" style="1215" bestFit="1" customWidth="1"/>
    <col min="1550" max="1550" width="11.5546875" style="1215" bestFit="1" customWidth="1"/>
    <col min="1551" max="1551" width="8" style="1215" bestFit="1" customWidth="1"/>
    <col min="1552" max="1552" width="11.5546875" style="1215" bestFit="1" customWidth="1"/>
    <col min="1553" max="1553" width="8.109375" style="1215" bestFit="1" customWidth="1"/>
    <col min="1554" max="1554" width="11.5546875" style="1215" bestFit="1" customWidth="1"/>
    <col min="1555" max="1555" width="8.44140625" style="1215" customWidth="1"/>
    <col min="1556" max="1556" width="7.44140625" style="1215" bestFit="1" customWidth="1"/>
    <col min="1557" max="1557" width="11.5546875" style="1215" bestFit="1" customWidth="1"/>
    <col min="1558" max="1558" width="8.109375" style="1215" customWidth="1"/>
    <col min="1559" max="1559" width="13" style="1215" bestFit="1" customWidth="1"/>
    <col min="1560" max="1798" width="10.88671875" style="1215"/>
    <col min="1799" max="1799" width="8.88671875" style="1215" customWidth="1"/>
    <col min="1800" max="1800" width="50" style="1215" customWidth="1"/>
    <col min="1801" max="1801" width="6.44140625" style="1215" bestFit="1" customWidth="1"/>
    <col min="1802" max="1802" width="8.88671875" style="1215" customWidth="1"/>
    <col min="1803" max="1803" width="8.5546875" style="1215" customWidth="1"/>
    <col min="1804" max="1804" width="11.44140625" style="1215" bestFit="1" customWidth="1"/>
    <col min="1805" max="1805" width="7.88671875" style="1215" bestFit="1" customWidth="1"/>
    <col min="1806" max="1806" width="11.5546875" style="1215" bestFit="1" customWidth="1"/>
    <col min="1807" max="1807" width="8" style="1215" bestFit="1" customWidth="1"/>
    <col min="1808" max="1808" width="11.5546875" style="1215" bestFit="1" customWidth="1"/>
    <col min="1809" max="1809" width="8.109375" style="1215" bestFit="1" customWidth="1"/>
    <col min="1810" max="1810" width="11.5546875" style="1215" bestFit="1" customWidth="1"/>
    <col min="1811" max="1811" width="8.44140625" style="1215" customWidth="1"/>
    <col min="1812" max="1812" width="7.44140625" style="1215" bestFit="1" customWidth="1"/>
    <col min="1813" max="1813" width="11.5546875" style="1215" bestFit="1" customWidth="1"/>
    <col min="1814" max="1814" width="8.109375" style="1215" customWidth="1"/>
    <col min="1815" max="1815" width="13" style="1215" bestFit="1" customWidth="1"/>
    <col min="1816" max="2054" width="10.88671875" style="1215"/>
    <col min="2055" max="2055" width="8.88671875" style="1215" customWidth="1"/>
    <col min="2056" max="2056" width="50" style="1215" customWidth="1"/>
    <col min="2057" max="2057" width="6.44140625" style="1215" bestFit="1" customWidth="1"/>
    <col min="2058" max="2058" width="8.88671875" style="1215" customWidth="1"/>
    <col min="2059" max="2059" width="8.5546875" style="1215" customWidth="1"/>
    <col min="2060" max="2060" width="11.44140625" style="1215" bestFit="1" customWidth="1"/>
    <col min="2061" max="2061" width="7.88671875" style="1215" bestFit="1" customWidth="1"/>
    <col min="2062" max="2062" width="11.5546875" style="1215" bestFit="1" customWidth="1"/>
    <col min="2063" max="2063" width="8" style="1215" bestFit="1" customWidth="1"/>
    <col min="2064" max="2064" width="11.5546875" style="1215" bestFit="1" customWidth="1"/>
    <col min="2065" max="2065" width="8.109375" style="1215" bestFit="1" customWidth="1"/>
    <col min="2066" max="2066" width="11.5546875" style="1215" bestFit="1" customWidth="1"/>
    <col min="2067" max="2067" width="8.44140625" style="1215" customWidth="1"/>
    <col min="2068" max="2068" width="7.44140625" style="1215" bestFit="1" customWidth="1"/>
    <col min="2069" max="2069" width="11.5546875" style="1215" bestFit="1" customWidth="1"/>
    <col min="2070" max="2070" width="8.109375" style="1215" customWidth="1"/>
    <col min="2071" max="2071" width="13" style="1215" bestFit="1" customWidth="1"/>
    <col min="2072" max="2310" width="10.88671875" style="1215"/>
    <col min="2311" max="2311" width="8.88671875" style="1215" customWidth="1"/>
    <col min="2312" max="2312" width="50" style="1215" customWidth="1"/>
    <col min="2313" max="2313" width="6.44140625" style="1215" bestFit="1" customWidth="1"/>
    <col min="2314" max="2314" width="8.88671875" style="1215" customWidth="1"/>
    <col min="2315" max="2315" width="8.5546875" style="1215" customWidth="1"/>
    <col min="2316" max="2316" width="11.44140625" style="1215" bestFit="1" customWidth="1"/>
    <col min="2317" max="2317" width="7.88671875" style="1215" bestFit="1" customWidth="1"/>
    <col min="2318" max="2318" width="11.5546875" style="1215" bestFit="1" customWidth="1"/>
    <col min="2319" max="2319" width="8" style="1215" bestFit="1" customWidth="1"/>
    <col min="2320" max="2320" width="11.5546875" style="1215" bestFit="1" customWidth="1"/>
    <col min="2321" max="2321" width="8.109375" style="1215" bestFit="1" customWidth="1"/>
    <col min="2322" max="2322" width="11.5546875" style="1215" bestFit="1" customWidth="1"/>
    <col min="2323" max="2323" width="8.44140625" style="1215" customWidth="1"/>
    <col min="2324" max="2324" width="7.44140625" style="1215" bestFit="1" customWidth="1"/>
    <col min="2325" max="2325" width="11.5546875" style="1215" bestFit="1" customWidth="1"/>
    <col min="2326" max="2326" width="8.109375" style="1215" customWidth="1"/>
    <col min="2327" max="2327" width="13" style="1215" bestFit="1" customWidth="1"/>
    <col min="2328" max="2566" width="10.88671875" style="1215"/>
    <col min="2567" max="2567" width="8.88671875" style="1215" customWidth="1"/>
    <col min="2568" max="2568" width="50" style="1215" customWidth="1"/>
    <col min="2569" max="2569" width="6.44140625" style="1215" bestFit="1" customWidth="1"/>
    <col min="2570" max="2570" width="8.88671875" style="1215" customWidth="1"/>
    <col min="2571" max="2571" width="8.5546875" style="1215" customWidth="1"/>
    <col min="2572" max="2572" width="11.44140625" style="1215" bestFit="1" customWidth="1"/>
    <col min="2573" max="2573" width="7.88671875" style="1215" bestFit="1" customWidth="1"/>
    <col min="2574" max="2574" width="11.5546875" style="1215" bestFit="1" customWidth="1"/>
    <col min="2575" max="2575" width="8" style="1215" bestFit="1" customWidth="1"/>
    <col min="2576" max="2576" width="11.5546875" style="1215" bestFit="1" customWidth="1"/>
    <col min="2577" max="2577" width="8.109375" style="1215" bestFit="1" customWidth="1"/>
    <col min="2578" max="2578" width="11.5546875" style="1215" bestFit="1" customWidth="1"/>
    <col min="2579" max="2579" width="8.44140625" style="1215" customWidth="1"/>
    <col min="2580" max="2580" width="7.44140625" style="1215" bestFit="1" customWidth="1"/>
    <col min="2581" max="2581" width="11.5546875" style="1215" bestFit="1" customWidth="1"/>
    <col min="2582" max="2582" width="8.109375" style="1215" customWidth="1"/>
    <col min="2583" max="2583" width="13" style="1215" bestFit="1" customWidth="1"/>
    <col min="2584" max="2822" width="10.88671875" style="1215"/>
    <col min="2823" max="2823" width="8.88671875" style="1215" customWidth="1"/>
    <col min="2824" max="2824" width="50" style="1215" customWidth="1"/>
    <col min="2825" max="2825" width="6.44140625" style="1215" bestFit="1" customWidth="1"/>
    <col min="2826" max="2826" width="8.88671875" style="1215" customWidth="1"/>
    <col min="2827" max="2827" width="8.5546875" style="1215" customWidth="1"/>
    <col min="2828" max="2828" width="11.44140625" style="1215" bestFit="1" customWidth="1"/>
    <col min="2829" max="2829" width="7.88671875" style="1215" bestFit="1" customWidth="1"/>
    <col min="2830" max="2830" width="11.5546875" style="1215" bestFit="1" customWidth="1"/>
    <col min="2831" max="2831" width="8" style="1215" bestFit="1" customWidth="1"/>
    <col min="2832" max="2832" width="11.5546875" style="1215" bestFit="1" customWidth="1"/>
    <col min="2833" max="2833" width="8.109375" style="1215" bestFit="1" customWidth="1"/>
    <col min="2834" max="2834" width="11.5546875" style="1215" bestFit="1" customWidth="1"/>
    <col min="2835" max="2835" width="8.44140625" style="1215" customWidth="1"/>
    <col min="2836" max="2836" width="7.44140625" style="1215" bestFit="1" customWidth="1"/>
    <col min="2837" max="2837" width="11.5546875" style="1215" bestFit="1" customWidth="1"/>
    <col min="2838" max="2838" width="8.109375" style="1215" customWidth="1"/>
    <col min="2839" max="2839" width="13" style="1215" bestFit="1" customWidth="1"/>
    <col min="2840" max="3078" width="10.88671875" style="1215"/>
    <col min="3079" max="3079" width="8.88671875" style="1215" customWidth="1"/>
    <col min="3080" max="3080" width="50" style="1215" customWidth="1"/>
    <col min="3081" max="3081" width="6.44140625" style="1215" bestFit="1" customWidth="1"/>
    <col min="3082" max="3082" width="8.88671875" style="1215" customWidth="1"/>
    <col min="3083" max="3083" width="8.5546875" style="1215" customWidth="1"/>
    <col min="3084" max="3084" width="11.44140625" style="1215" bestFit="1" customWidth="1"/>
    <col min="3085" max="3085" width="7.88671875" style="1215" bestFit="1" customWidth="1"/>
    <col min="3086" max="3086" width="11.5546875" style="1215" bestFit="1" customWidth="1"/>
    <col min="3087" max="3087" width="8" style="1215" bestFit="1" customWidth="1"/>
    <col min="3088" max="3088" width="11.5546875" style="1215" bestFit="1" customWidth="1"/>
    <col min="3089" max="3089" width="8.109375" style="1215" bestFit="1" customWidth="1"/>
    <col min="3090" max="3090" width="11.5546875" style="1215" bestFit="1" customWidth="1"/>
    <col min="3091" max="3091" width="8.44140625" style="1215" customWidth="1"/>
    <col min="3092" max="3092" width="7.44140625" style="1215" bestFit="1" customWidth="1"/>
    <col min="3093" max="3093" width="11.5546875" style="1215" bestFit="1" customWidth="1"/>
    <col min="3094" max="3094" width="8.109375" style="1215" customWidth="1"/>
    <col min="3095" max="3095" width="13" style="1215" bestFit="1" customWidth="1"/>
    <col min="3096" max="3334" width="10.88671875" style="1215"/>
    <col min="3335" max="3335" width="8.88671875" style="1215" customWidth="1"/>
    <col min="3336" max="3336" width="50" style="1215" customWidth="1"/>
    <col min="3337" max="3337" width="6.44140625" style="1215" bestFit="1" customWidth="1"/>
    <col min="3338" max="3338" width="8.88671875" style="1215" customWidth="1"/>
    <col min="3339" max="3339" width="8.5546875" style="1215" customWidth="1"/>
    <col min="3340" max="3340" width="11.44140625" style="1215" bestFit="1" customWidth="1"/>
    <col min="3341" max="3341" width="7.88671875" style="1215" bestFit="1" customWidth="1"/>
    <col min="3342" max="3342" width="11.5546875" style="1215" bestFit="1" customWidth="1"/>
    <col min="3343" max="3343" width="8" style="1215" bestFit="1" customWidth="1"/>
    <col min="3344" max="3344" width="11.5546875" style="1215" bestFit="1" customWidth="1"/>
    <col min="3345" max="3345" width="8.109375" style="1215" bestFit="1" customWidth="1"/>
    <col min="3346" max="3346" width="11.5546875" style="1215" bestFit="1" customWidth="1"/>
    <col min="3347" max="3347" width="8.44140625" style="1215" customWidth="1"/>
    <col min="3348" max="3348" width="7.44140625" style="1215" bestFit="1" customWidth="1"/>
    <col min="3349" max="3349" width="11.5546875" style="1215" bestFit="1" customWidth="1"/>
    <col min="3350" max="3350" width="8.109375" style="1215" customWidth="1"/>
    <col min="3351" max="3351" width="13" style="1215" bestFit="1" customWidth="1"/>
    <col min="3352" max="3590" width="10.88671875" style="1215"/>
    <col min="3591" max="3591" width="8.88671875" style="1215" customWidth="1"/>
    <col min="3592" max="3592" width="50" style="1215" customWidth="1"/>
    <col min="3593" max="3593" width="6.44140625" style="1215" bestFit="1" customWidth="1"/>
    <col min="3594" max="3594" width="8.88671875" style="1215" customWidth="1"/>
    <col min="3595" max="3595" width="8.5546875" style="1215" customWidth="1"/>
    <col min="3596" max="3596" width="11.44140625" style="1215" bestFit="1" customWidth="1"/>
    <col min="3597" max="3597" width="7.88671875" style="1215" bestFit="1" customWidth="1"/>
    <col min="3598" max="3598" width="11.5546875" style="1215" bestFit="1" customWidth="1"/>
    <col min="3599" max="3599" width="8" style="1215" bestFit="1" customWidth="1"/>
    <col min="3600" max="3600" width="11.5546875" style="1215" bestFit="1" customWidth="1"/>
    <col min="3601" max="3601" width="8.109375" style="1215" bestFit="1" customWidth="1"/>
    <col min="3602" max="3602" width="11.5546875" style="1215" bestFit="1" customWidth="1"/>
    <col min="3603" max="3603" width="8.44140625" style="1215" customWidth="1"/>
    <col min="3604" max="3604" width="7.44140625" style="1215" bestFit="1" customWidth="1"/>
    <col min="3605" max="3605" width="11.5546875" style="1215" bestFit="1" customWidth="1"/>
    <col min="3606" max="3606" width="8.109375" style="1215" customWidth="1"/>
    <col min="3607" max="3607" width="13" style="1215" bestFit="1" customWidth="1"/>
    <col min="3608" max="3846" width="10.88671875" style="1215"/>
    <col min="3847" max="3847" width="8.88671875" style="1215" customWidth="1"/>
    <col min="3848" max="3848" width="50" style="1215" customWidth="1"/>
    <col min="3849" max="3849" width="6.44140625" style="1215" bestFit="1" customWidth="1"/>
    <col min="3850" max="3850" width="8.88671875" style="1215" customWidth="1"/>
    <col min="3851" max="3851" width="8.5546875" style="1215" customWidth="1"/>
    <col min="3852" max="3852" width="11.44140625" style="1215" bestFit="1" customWidth="1"/>
    <col min="3853" max="3853" width="7.88671875" style="1215" bestFit="1" customWidth="1"/>
    <col min="3854" max="3854" width="11.5546875" style="1215" bestFit="1" customWidth="1"/>
    <col min="3855" max="3855" width="8" style="1215" bestFit="1" customWidth="1"/>
    <col min="3856" max="3856" width="11.5546875" style="1215" bestFit="1" customWidth="1"/>
    <col min="3857" max="3857" width="8.109375" style="1215" bestFit="1" customWidth="1"/>
    <col min="3858" max="3858" width="11.5546875" style="1215" bestFit="1" customWidth="1"/>
    <col min="3859" max="3859" width="8.44140625" style="1215" customWidth="1"/>
    <col min="3860" max="3860" width="7.44140625" style="1215" bestFit="1" customWidth="1"/>
    <col min="3861" max="3861" width="11.5546875" style="1215" bestFit="1" customWidth="1"/>
    <col min="3862" max="3862" width="8.109375" style="1215" customWidth="1"/>
    <col min="3863" max="3863" width="13" style="1215" bestFit="1" customWidth="1"/>
    <col min="3864" max="4102" width="10.88671875" style="1215"/>
    <col min="4103" max="4103" width="8.88671875" style="1215" customWidth="1"/>
    <col min="4104" max="4104" width="50" style="1215" customWidth="1"/>
    <col min="4105" max="4105" width="6.44140625" style="1215" bestFit="1" customWidth="1"/>
    <col min="4106" max="4106" width="8.88671875" style="1215" customWidth="1"/>
    <col min="4107" max="4107" width="8.5546875" style="1215" customWidth="1"/>
    <col min="4108" max="4108" width="11.44140625" style="1215" bestFit="1" customWidth="1"/>
    <col min="4109" max="4109" width="7.88671875" style="1215" bestFit="1" customWidth="1"/>
    <col min="4110" max="4110" width="11.5546875" style="1215" bestFit="1" customWidth="1"/>
    <col min="4111" max="4111" width="8" style="1215" bestFit="1" customWidth="1"/>
    <col min="4112" max="4112" width="11.5546875" style="1215" bestFit="1" customWidth="1"/>
    <col min="4113" max="4113" width="8.109375" style="1215" bestFit="1" customWidth="1"/>
    <col min="4114" max="4114" width="11.5546875" style="1215" bestFit="1" customWidth="1"/>
    <col min="4115" max="4115" width="8.44140625" style="1215" customWidth="1"/>
    <col min="4116" max="4116" width="7.44140625" style="1215" bestFit="1" customWidth="1"/>
    <col min="4117" max="4117" width="11.5546875" style="1215" bestFit="1" customWidth="1"/>
    <col min="4118" max="4118" width="8.109375" style="1215" customWidth="1"/>
    <col min="4119" max="4119" width="13" style="1215" bestFit="1" customWidth="1"/>
    <col min="4120" max="4358" width="10.88671875" style="1215"/>
    <col min="4359" max="4359" width="8.88671875" style="1215" customWidth="1"/>
    <col min="4360" max="4360" width="50" style="1215" customWidth="1"/>
    <col min="4361" max="4361" width="6.44140625" style="1215" bestFit="1" customWidth="1"/>
    <col min="4362" max="4362" width="8.88671875" style="1215" customWidth="1"/>
    <col min="4363" max="4363" width="8.5546875" style="1215" customWidth="1"/>
    <col min="4364" max="4364" width="11.44140625" style="1215" bestFit="1" customWidth="1"/>
    <col min="4365" max="4365" width="7.88671875" style="1215" bestFit="1" customWidth="1"/>
    <col min="4366" max="4366" width="11.5546875" style="1215" bestFit="1" customWidth="1"/>
    <col min="4367" max="4367" width="8" style="1215" bestFit="1" customWidth="1"/>
    <col min="4368" max="4368" width="11.5546875" style="1215" bestFit="1" customWidth="1"/>
    <col min="4369" max="4369" width="8.109375" style="1215" bestFit="1" customWidth="1"/>
    <col min="4370" max="4370" width="11.5546875" style="1215" bestFit="1" customWidth="1"/>
    <col min="4371" max="4371" width="8.44140625" style="1215" customWidth="1"/>
    <col min="4372" max="4372" width="7.44140625" style="1215" bestFit="1" customWidth="1"/>
    <col min="4373" max="4373" width="11.5546875" style="1215" bestFit="1" customWidth="1"/>
    <col min="4374" max="4374" width="8.109375" style="1215" customWidth="1"/>
    <col min="4375" max="4375" width="13" style="1215" bestFit="1" customWidth="1"/>
    <col min="4376" max="4614" width="10.88671875" style="1215"/>
    <col min="4615" max="4615" width="8.88671875" style="1215" customWidth="1"/>
    <col min="4616" max="4616" width="50" style="1215" customWidth="1"/>
    <col min="4617" max="4617" width="6.44140625" style="1215" bestFit="1" customWidth="1"/>
    <col min="4618" max="4618" width="8.88671875" style="1215" customWidth="1"/>
    <col min="4619" max="4619" width="8.5546875" style="1215" customWidth="1"/>
    <col min="4620" max="4620" width="11.44140625" style="1215" bestFit="1" customWidth="1"/>
    <col min="4621" max="4621" width="7.88671875" style="1215" bestFit="1" customWidth="1"/>
    <col min="4622" max="4622" width="11.5546875" style="1215" bestFit="1" customWidth="1"/>
    <col min="4623" max="4623" width="8" style="1215" bestFit="1" customWidth="1"/>
    <col min="4624" max="4624" width="11.5546875" style="1215" bestFit="1" customWidth="1"/>
    <col min="4625" max="4625" width="8.109375" style="1215" bestFit="1" customWidth="1"/>
    <col min="4626" max="4626" width="11.5546875" style="1215" bestFit="1" customWidth="1"/>
    <col min="4627" max="4627" width="8.44140625" style="1215" customWidth="1"/>
    <col min="4628" max="4628" width="7.44140625" style="1215" bestFit="1" customWidth="1"/>
    <col min="4629" max="4629" width="11.5546875" style="1215" bestFit="1" customWidth="1"/>
    <col min="4630" max="4630" width="8.109375" style="1215" customWidth="1"/>
    <col min="4631" max="4631" width="13" style="1215" bestFit="1" customWidth="1"/>
    <col min="4632" max="4870" width="10.88671875" style="1215"/>
    <col min="4871" max="4871" width="8.88671875" style="1215" customWidth="1"/>
    <col min="4872" max="4872" width="50" style="1215" customWidth="1"/>
    <col min="4873" max="4873" width="6.44140625" style="1215" bestFit="1" customWidth="1"/>
    <col min="4874" max="4874" width="8.88671875" style="1215" customWidth="1"/>
    <col min="4875" max="4875" width="8.5546875" style="1215" customWidth="1"/>
    <col min="4876" max="4876" width="11.44140625" style="1215" bestFit="1" customWidth="1"/>
    <col min="4877" max="4877" width="7.88671875" style="1215" bestFit="1" customWidth="1"/>
    <col min="4878" max="4878" width="11.5546875" style="1215" bestFit="1" customWidth="1"/>
    <col min="4879" max="4879" width="8" style="1215" bestFit="1" customWidth="1"/>
    <col min="4880" max="4880" width="11.5546875" style="1215" bestFit="1" customWidth="1"/>
    <col min="4881" max="4881" width="8.109375" style="1215" bestFit="1" customWidth="1"/>
    <col min="4882" max="4882" width="11.5546875" style="1215" bestFit="1" customWidth="1"/>
    <col min="4883" max="4883" width="8.44140625" style="1215" customWidth="1"/>
    <col min="4884" max="4884" width="7.44140625" style="1215" bestFit="1" customWidth="1"/>
    <col min="4885" max="4885" width="11.5546875" style="1215" bestFit="1" customWidth="1"/>
    <col min="4886" max="4886" width="8.109375" style="1215" customWidth="1"/>
    <col min="4887" max="4887" width="13" style="1215" bestFit="1" customWidth="1"/>
    <col min="4888" max="5126" width="10.88671875" style="1215"/>
    <col min="5127" max="5127" width="8.88671875" style="1215" customWidth="1"/>
    <col min="5128" max="5128" width="50" style="1215" customWidth="1"/>
    <col min="5129" max="5129" width="6.44140625" style="1215" bestFit="1" customWidth="1"/>
    <col min="5130" max="5130" width="8.88671875" style="1215" customWidth="1"/>
    <col min="5131" max="5131" width="8.5546875" style="1215" customWidth="1"/>
    <col min="5132" max="5132" width="11.44140625" style="1215" bestFit="1" customWidth="1"/>
    <col min="5133" max="5133" width="7.88671875" style="1215" bestFit="1" customWidth="1"/>
    <col min="5134" max="5134" width="11.5546875" style="1215" bestFit="1" customWidth="1"/>
    <col min="5135" max="5135" width="8" style="1215" bestFit="1" customWidth="1"/>
    <col min="5136" max="5136" width="11.5546875" style="1215" bestFit="1" customWidth="1"/>
    <col min="5137" max="5137" width="8.109375" style="1215" bestFit="1" customWidth="1"/>
    <col min="5138" max="5138" width="11.5546875" style="1215" bestFit="1" customWidth="1"/>
    <col min="5139" max="5139" width="8.44140625" style="1215" customWidth="1"/>
    <col min="5140" max="5140" width="7.44140625" style="1215" bestFit="1" customWidth="1"/>
    <col min="5141" max="5141" width="11.5546875" style="1215" bestFit="1" customWidth="1"/>
    <col min="5142" max="5142" width="8.109375" style="1215" customWidth="1"/>
    <col min="5143" max="5143" width="13" style="1215" bestFit="1" customWidth="1"/>
    <col min="5144" max="5382" width="10.88671875" style="1215"/>
    <col min="5383" max="5383" width="8.88671875" style="1215" customWidth="1"/>
    <col min="5384" max="5384" width="50" style="1215" customWidth="1"/>
    <col min="5385" max="5385" width="6.44140625" style="1215" bestFit="1" customWidth="1"/>
    <col min="5386" max="5386" width="8.88671875" style="1215" customWidth="1"/>
    <col min="5387" max="5387" width="8.5546875" style="1215" customWidth="1"/>
    <col min="5388" max="5388" width="11.44140625" style="1215" bestFit="1" customWidth="1"/>
    <col min="5389" max="5389" width="7.88671875" style="1215" bestFit="1" customWidth="1"/>
    <col min="5390" max="5390" width="11.5546875" style="1215" bestFit="1" customWidth="1"/>
    <col min="5391" max="5391" width="8" style="1215" bestFit="1" customWidth="1"/>
    <col min="5392" max="5392" width="11.5546875" style="1215" bestFit="1" customWidth="1"/>
    <col min="5393" max="5393" width="8.109375" style="1215" bestFit="1" customWidth="1"/>
    <col min="5394" max="5394" width="11.5546875" style="1215" bestFit="1" customWidth="1"/>
    <col min="5395" max="5395" width="8.44140625" style="1215" customWidth="1"/>
    <col min="5396" max="5396" width="7.44140625" style="1215" bestFit="1" customWidth="1"/>
    <col min="5397" max="5397" width="11.5546875" style="1215" bestFit="1" customWidth="1"/>
    <col min="5398" max="5398" width="8.109375" style="1215" customWidth="1"/>
    <col min="5399" max="5399" width="13" style="1215" bestFit="1" customWidth="1"/>
    <col min="5400" max="5638" width="10.88671875" style="1215"/>
    <col min="5639" max="5639" width="8.88671875" style="1215" customWidth="1"/>
    <col min="5640" max="5640" width="50" style="1215" customWidth="1"/>
    <col min="5641" max="5641" width="6.44140625" style="1215" bestFit="1" customWidth="1"/>
    <col min="5642" max="5642" width="8.88671875" style="1215" customWidth="1"/>
    <col min="5643" max="5643" width="8.5546875" style="1215" customWidth="1"/>
    <col min="5644" max="5644" width="11.44140625" style="1215" bestFit="1" customWidth="1"/>
    <col min="5645" max="5645" width="7.88671875" style="1215" bestFit="1" customWidth="1"/>
    <col min="5646" max="5646" width="11.5546875" style="1215" bestFit="1" customWidth="1"/>
    <col min="5647" max="5647" width="8" style="1215" bestFit="1" customWidth="1"/>
    <col min="5648" max="5648" width="11.5546875" style="1215" bestFit="1" customWidth="1"/>
    <col min="5649" max="5649" width="8.109375" style="1215" bestFit="1" customWidth="1"/>
    <col min="5650" max="5650" width="11.5546875" style="1215" bestFit="1" customWidth="1"/>
    <col min="5651" max="5651" width="8.44140625" style="1215" customWidth="1"/>
    <col min="5652" max="5652" width="7.44140625" style="1215" bestFit="1" customWidth="1"/>
    <col min="5653" max="5653" width="11.5546875" style="1215" bestFit="1" customWidth="1"/>
    <col min="5654" max="5654" width="8.109375" style="1215" customWidth="1"/>
    <col min="5655" max="5655" width="13" style="1215" bestFit="1" customWidth="1"/>
    <col min="5656" max="5894" width="10.88671875" style="1215"/>
    <col min="5895" max="5895" width="8.88671875" style="1215" customWidth="1"/>
    <col min="5896" max="5896" width="50" style="1215" customWidth="1"/>
    <col min="5897" max="5897" width="6.44140625" style="1215" bestFit="1" customWidth="1"/>
    <col min="5898" max="5898" width="8.88671875" style="1215" customWidth="1"/>
    <col min="5899" max="5899" width="8.5546875" style="1215" customWidth="1"/>
    <col min="5900" max="5900" width="11.44140625" style="1215" bestFit="1" customWidth="1"/>
    <col min="5901" max="5901" width="7.88671875" style="1215" bestFit="1" customWidth="1"/>
    <col min="5902" max="5902" width="11.5546875" style="1215" bestFit="1" customWidth="1"/>
    <col min="5903" max="5903" width="8" style="1215" bestFit="1" customWidth="1"/>
    <col min="5904" max="5904" width="11.5546875" style="1215" bestFit="1" customWidth="1"/>
    <col min="5905" max="5905" width="8.109375" style="1215" bestFit="1" customWidth="1"/>
    <col min="5906" max="5906" width="11.5546875" style="1215" bestFit="1" customWidth="1"/>
    <col min="5907" max="5907" width="8.44140625" style="1215" customWidth="1"/>
    <col min="5908" max="5908" width="7.44140625" style="1215" bestFit="1" customWidth="1"/>
    <col min="5909" max="5909" width="11.5546875" style="1215" bestFit="1" customWidth="1"/>
    <col min="5910" max="5910" width="8.109375" style="1215" customWidth="1"/>
    <col min="5911" max="5911" width="13" style="1215" bestFit="1" customWidth="1"/>
    <col min="5912" max="6150" width="10.88671875" style="1215"/>
    <col min="6151" max="6151" width="8.88671875" style="1215" customWidth="1"/>
    <col min="6152" max="6152" width="50" style="1215" customWidth="1"/>
    <col min="6153" max="6153" width="6.44140625" style="1215" bestFit="1" customWidth="1"/>
    <col min="6154" max="6154" width="8.88671875" style="1215" customWidth="1"/>
    <col min="6155" max="6155" width="8.5546875" style="1215" customWidth="1"/>
    <col min="6156" max="6156" width="11.44140625" style="1215" bestFit="1" customWidth="1"/>
    <col min="6157" max="6157" width="7.88671875" style="1215" bestFit="1" customWidth="1"/>
    <col min="6158" max="6158" width="11.5546875" style="1215" bestFit="1" customWidth="1"/>
    <col min="6159" max="6159" width="8" style="1215" bestFit="1" customWidth="1"/>
    <col min="6160" max="6160" width="11.5546875" style="1215" bestFit="1" customWidth="1"/>
    <col min="6161" max="6161" width="8.109375" style="1215" bestFit="1" customWidth="1"/>
    <col min="6162" max="6162" width="11.5546875" style="1215" bestFit="1" customWidth="1"/>
    <col min="6163" max="6163" width="8.44140625" style="1215" customWidth="1"/>
    <col min="6164" max="6164" width="7.44140625" style="1215" bestFit="1" customWidth="1"/>
    <col min="6165" max="6165" width="11.5546875" style="1215" bestFit="1" customWidth="1"/>
    <col min="6166" max="6166" width="8.109375" style="1215" customWidth="1"/>
    <col min="6167" max="6167" width="13" style="1215" bestFit="1" customWidth="1"/>
    <col min="6168" max="6406" width="10.88671875" style="1215"/>
    <col min="6407" max="6407" width="8.88671875" style="1215" customWidth="1"/>
    <col min="6408" max="6408" width="50" style="1215" customWidth="1"/>
    <col min="6409" max="6409" width="6.44140625" style="1215" bestFit="1" customWidth="1"/>
    <col min="6410" max="6410" width="8.88671875" style="1215" customWidth="1"/>
    <col min="6411" max="6411" width="8.5546875" style="1215" customWidth="1"/>
    <col min="6412" max="6412" width="11.44140625" style="1215" bestFit="1" customWidth="1"/>
    <col min="6413" max="6413" width="7.88671875" style="1215" bestFit="1" customWidth="1"/>
    <col min="6414" max="6414" width="11.5546875" style="1215" bestFit="1" customWidth="1"/>
    <col min="6415" max="6415" width="8" style="1215" bestFit="1" customWidth="1"/>
    <col min="6416" max="6416" width="11.5546875" style="1215" bestFit="1" customWidth="1"/>
    <col min="6417" max="6417" width="8.109375" style="1215" bestFit="1" customWidth="1"/>
    <col min="6418" max="6418" width="11.5546875" style="1215" bestFit="1" customWidth="1"/>
    <col min="6419" max="6419" width="8.44140625" style="1215" customWidth="1"/>
    <col min="6420" max="6420" width="7.44140625" style="1215" bestFit="1" customWidth="1"/>
    <col min="6421" max="6421" width="11.5546875" style="1215" bestFit="1" customWidth="1"/>
    <col min="6422" max="6422" width="8.109375" style="1215" customWidth="1"/>
    <col min="6423" max="6423" width="13" style="1215" bestFit="1" customWidth="1"/>
    <col min="6424" max="6662" width="10.88671875" style="1215"/>
    <col min="6663" max="6663" width="8.88671875" style="1215" customWidth="1"/>
    <col min="6664" max="6664" width="50" style="1215" customWidth="1"/>
    <col min="6665" max="6665" width="6.44140625" style="1215" bestFit="1" customWidth="1"/>
    <col min="6666" max="6666" width="8.88671875" style="1215" customWidth="1"/>
    <col min="6667" max="6667" width="8.5546875" style="1215" customWidth="1"/>
    <col min="6668" max="6668" width="11.44140625" style="1215" bestFit="1" customWidth="1"/>
    <col min="6669" max="6669" width="7.88671875" style="1215" bestFit="1" customWidth="1"/>
    <col min="6670" max="6670" width="11.5546875" style="1215" bestFit="1" customWidth="1"/>
    <col min="6671" max="6671" width="8" style="1215" bestFit="1" customWidth="1"/>
    <col min="6672" max="6672" width="11.5546875" style="1215" bestFit="1" customWidth="1"/>
    <col min="6673" max="6673" width="8.109375" style="1215" bestFit="1" customWidth="1"/>
    <col min="6674" max="6674" width="11.5546875" style="1215" bestFit="1" customWidth="1"/>
    <col min="6675" max="6675" width="8.44140625" style="1215" customWidth="1"/>
    <col min="6676" max="6676" width="7.44140625" style="1215" bestFit="1" customWidth="1"/>
    <col min="6677" max="6677" width="11.5546875" style="1215" bestFit="1" customWidth="1"/>
    <col min="6678" max="6678" width="8.109375" style="1215" customWidth="1"/>
    <col min="6679" max="6679" width="13" style="1215" bestFit="1" customWidth="1"/>
    <col min="6680" max="6918" width="10.88671875" style="1215"/>
    <col min="6919" max="6919" width="8.88671875" style="1215" customWidth="1"/>
    <col min="6920" max="6920" width="50" style="1215" customWidth="1"/>
    <col min="6921" max="6921" width="6.44140625" style="1215" bestFit="1" customWidth="1"/>
    <col min="6922" max="6922" width="8.88671875" style="1215" customWidth="1"/>
    <col min="6923" max="6923" width="8.5546875" style="1215" customWidth="1"/>
    <col min="6924" max="6924" width="11.44140625" style="1215" bestFit="1" customWidth="1"/>
    <col min="6925" max="6925" width="7.88671875" style="1215" bestFit="1" customWidth="1"/>
    <col min="6926" max="6926" width="11.5546875" style="1215" bestFit="1" customWidth="1"/>
    <col min="6927" max="6927" width="8" style="1215" bestFit="1" customWidth="1"/>
    <col min="6928" max="6928" width="11.5546875" style="1215" bestFit="1" customWidth="1"/>
    <col min="6929" max="6929" width="8.109375" style="1215" bestFit="1" customWidth="1"/>
    <col min="6930" max="6930" width="11.5546875" style="1215" bestFit="1" customWidth="1"/>
    <col min="6931" max="6931" width="8.44140625" style="1215" customWidth="1"/>
    <col min="6932" max="6932" width="7.44140625" style="1215" bestFit="1" customWidth="1"/>
    <col min="6933" max="6933" width="11.5546875" style="1215" bestFit="1" customWidth="1"/>
    <col min="6934" max="6934" width="8.109375" style="1215" customWidth="1"/>
    <col min="6935" max="6935" width="13" style="1215" bestFit="1" customWidth="1"/>
    <col min="6936" max="7174" width="10.88671875" style="1215"/>
    <col min="7175" max="7175" width="8.88671875" style="1215" customWidth="1"/>
    <col min="7176" max="7176" width="50" style="1215" customWidth="1"/>
    <col min="7177" max="7177" width="6.44140625" style="1215" bestFit="1" customWidth="1"/>
    <col min="7178" max="7178" width="8.88671875" style="1215" customWidth="1"/>
    <col min="7179" max="7179" width="8.5546875" style="1215" customWidth="1"/>
    <col min="7180" max="7180" width="11.44140625" style="1215" bestFit="1" customWidth="1"/>
    <col min="7181" max="7181" width="7.88671875" style="1215" bestFit="1" customWidth="1"/>
    <col min="7182" max="7182" width="11.5546875" style="1215" bestFit="1" customWidth="1"/>
    <col min="7183" max="7183" width="8" style="1215" bestFit="1" customWidth="1"/>
    <col min="7184" max="7184" width="11.5546875" style="1215" bestFit="1" customWidth="1"/>
    <col min="7185" max="7185" width="8.109375" style="1215" bestFit="1" customWidth="1"/>
    <col min="7186" max="7186" width="11.5546875" style="1215" bestFit="1" customWidth="1"/>
    <col min="7187" max="7187" width="8.44140625" style="1215" customWidth="1"/>
    <col min="7188" max="7188" width="7.44140625" style="1215" bestFit="1" customWidth="1"/>
    <col min="7189" max="7189" width="11.5546875" style="1215" bestFit="1" customWidth="1"/>
    <col min="7190" max="7190" width="8.109375" style="1215" customWidth="1"/>
    <col min="7191" max="7191" width="13" style="1215" bestFit="1" customWidth="1"/>
    <col min="7192" max="7430" width="10.88671875" style="1215"/>
    <col min="7431" max="7431" width="8.88671875" style="1215" customWidth="1"/>
    <col min="7432" max="7432" width="50" style="1215" customWidth="1"/>
    <col min="7433" max="7433" width="6.44140625" style="1215" bestFit="1" customWidth="1"/>
    <col min="7434" max="7434" width="8.88671875" style="1215" customWidth="1"/>
    <col min="7435" max="7435" width="8.5546875" style="1215" customWidth="1"/>
    <col min="7436" max="7436" width="11.44140625" style="1215" bestFit="1" customWidth="1"/>
    <col min="7437" max="7437" width="7.88671875" style="1215" bestFit="1" customWidth="1"/>
    <col min="7438" max="7438" width="11.5546875" style="1215" bestFit="1" customWidth="1"/>
    <col min="7439" max="7439" width="8" style="1215" bestFit="1" customWidth="1"/>
    <col min="7440" max="7440" width="11.5546875" style="1215" bestFit="1" customWidth="1"/>
    <col min="7441" max="7441" width="8.109375" style="1215" bestFit="1" customWidth="1"/>
    <col min="7442" max="7442" width="11.5546875" style="1215" bestFit="1" customWidth="1"/>
    <col min="7443" max="7443" width="8.44140625" style="1215" customWidth="1"/>
    <col min="7444" max="7444" width="7.44140625" style="1215" bestFit="1" customWidth="1"/>
    <col min="7445" max="7445" width="11.5546875" style="1215" bestFit="1" customWidth="1"/>
    <col min="7446" max="7446" width="8.109375" style="1215" customWidth="1"/>
    <col min="7447" max="7447" width="13" style="1215" bestFit="1" customWidth="1"/>
    <col min="7448" max="7686" width="10.88671875" style="1215"/>
    <col min="7687" max="7687" width="8.88671875" style="1215" customWidth="1"/>
    <col min="7688" max="7688" width="50" style="1215" customWidth="1"/>
    <col min="7689" max="7689" width="6.44140625" style="1215" bestFit="1" customWidth="1"/>
    <col min="7690" max="7690" width="8.88671875" style="1215" customWidth="1"/>
    <col min="7691" max="7691" width="8.5546875" style="1215" customWidth="1"/>
    <col min="7692" max="7692" width="11.44140625" style="1215" bestFit="1" customWidth="1"/>
    <col min="7693" max="7693" width="7.88671875" style="1215" bestFit="1" customWidth="1"/>
    <col min="7694" max="7694" width="11.5546875" style="1215" bestFit="1" customWidth="1"/>
    <col min="7695" max="7695" width="8" style="1215" bestFit="1" customWidth="1"/>
    <col min="7696" max="7696" width="11.5546875" style="1215" bestFit="1" customWidth="1"/>
    <col min="7697" max="7697" width="8.109375" style="1215" bestFit="1" customWidth="1"/>
    <col min="7698" max="7698" width="11.5546875" style="1215" bestFit="1" customWidth="1"/>
    <col min="7699" max="7699" width="8.44140625" style="1215" customWidth="1"/>
    <col min="7700" max="7700" width="7.44140625" style="1215" bestFit="1" customWidth="1"/>
    <col min="7701" max="7701" width="11.5546875" style="1215" bestFit="1" customWidth="1"/>
    <col min="7702" max="7702" width="8.109375" style="1215" customWidth="1"/>
    <col min="7703" max="7703" width="13" style="1215" bestFit="1" customWidth="1"/>
    <col min="7704" max="7942" width="10.88671875" style="1215"/>
    <col min="7943" max="7943" width="8.88671875" style="1215" customWidth="1"/>
    <col min="7944" max="7944" width="50" style="1215" customWidth="1"/>
    <col min="7945" max="7945" width="6.44140625" style="1215" bestFit="1" customWidth="1"/>
    <col min="7946" max="7946" width="8.88671875" style="1215" customWidth="1"/>
    <col min="7947" max="7947" width="8.5546875" style="1215" customWidth="1"/>
    <col min="7948" max="7948" width="11.44140625" style="1215" bestFit="1" customWidth="1"/>
    <col min="7949" max="7949" width="7.88671875" style="1215" bestFit="1" customWidth="1"/>
    <col min="7950" max="7950" width="11.5546875" style="1215" bestFit="1" customWidth="1"/>
    <col min="7951" max="7951" width="8" style="1215" bestFit="1" customWidth="1"/>
    <col min="7952" max="7952" width="11.5546875" style="1215" bestFit="1" customWidth="1"/>
    <col min="7953" max="7953" width="8.109375" style="1215" bestFit="1" customWidth="1"/>
    <col min="7954" max="7954" width="11.5546875" style="1215" bestFit="1" customWidth="1"/>
    <col min="7955" max="7955" width="8.44140625" style="1215" customWidth="1"/>
    <col min="7956" max="7956" width="7.44140625" style="1215" bestFit="1" customWidth="1"/>
    <col min="7957" max="7957" width="11.5546875" style="1215" bestFit="1" customWidth="1"/>
    <col min="7958" max="7958" width="8.109375" style="1215" customWidth="1"/>
    <col min="7959" max="7959" width="13" style="1215" bestFit="1" customWidth="1"/>
    <col min="7960" max="8198" width="10.88671875" style="1215"/>
    <col min="8199" max="8199" width="8.88671875" style="1215" customWidth="1"/>
    <col min="8200" max="8200" width="50" style="1215" customWidth="1"/>
    <col min="8201" max="8201" width="6.44140625" style="1215" bestFit="1" customWidth="1"/>
    <col min="8202" max="8202" width="8.88671875" style="1215" customWidth="1"/>
    <col min="8203" max="8203" width="8.5546875" style="1215" customWidth="1"/>
    <col min="8204" max="8204" width="11.44140625" style="1215" bestFit="1" customWidth="1"/>
    <col min="8205" max="8205" width="7.88671875" style="1215" bestFit="1" customWidth="1"/>
    <col min="8206" max="8206" width="11.5546875" style="1215" bestFit="1" customWidth="1"/>
    <col min="8207" max="8207" width="8" style="1215" bestFit="1" customWidth="1"/>
    <col min="8208" max="8208" width="11.5546875" style="1215" bestFit="1" customWidth="1"/>
    <col min="8209" max="8209" width="8.109375" style="1215" bestFit="1" customWidth="1"/>
    <col min="8210" max="8210" width="11.5546875" style="1215" bestFit="1" customWidth="1"/>
    <col min="8211" max="8211" width="8.44140625" style="1215" customWidth="1"/>
    <col min="8212" max="8212" width="7.44140625" style="1215" bestFit="1" customWidth="1"/>
    <col min="8213" max="8213" width="11.5546875" style="1215" bestFit="1" customWidth="1"/>
    <col min="8214" max="8214" width="8.109375" style="1215" customWidth="1"/>
    <col min="8215" max="8215" width="13" style="1215" bestFit="1" customWidth="1"/>
    <col min="8216" max="8454" width="10.88671875" style="1215"/>
    <col min="8455" max="8455" width="8.88671875" style="1215" customWidth="1"/>
    <col min="8456" max="8456" width="50" style="1215" customWidth="1"/>
    <col min="8457" max="8457" width="6.44140625" style="1215" bestFit="1" customWidth="1"/>
    <col min="8458" max="8458" width="8.88671875" style="1215" customWidth="1"/>
    <col min="8459" max="8459" width="8.5546875" style="1215" customWidth="1"/>
    <col min="8460" max="8460" width="11.44140625" style="1215" bestFit="1" customWidth="1"/>
    <col min="8461" max="8461" width="7.88671875" style="1215" bestFit="1" customWidth="1"/>
    <col min="8462" max="8462" width="11.5546875" style="1215" bestFit="1" customWidth="1"/>
    <col min="8463" max="8463" width="8" style="1215" bestFit="1" customWidth="1"/>
    <col min="8464" max="8464" width="11.5546875" style="1215" bestFit="1" customWidth="1"/>
    <col min="8465" max="8465" width="8.109375" style="1215" bestFit="1" customWidth="1"/>
    <col min="8466" max="8466" width="11.5546875" style="1215" bestFit="1" customWidth="1"/>
    <col min="8467" max="8467" width="8.44140625" style="1215" customWidth="1"/>
    <col min="8468" max="8468" width="7.44140625" style="1215" bestFit="1" customWidth="1"/>
    <col min="8469" max="8469" width="11.5546875" style="1215" bestFit="1" customWidth="1"/>
    <col min="8470" max="8470" width="8.109375" style="1215" customWidth="1"/>
    <col min="8471" max="8471" width="13" style="1215" bestFit="1" customWidth="1"/>
    <col min="8472" max="8710" width="10.88671875" style="1215"/>
    <col min="8711" max="8711" width="8.88671875" style="1215" customWidth="1"/>
    <col min="8712" max="8712" width="50" style="1215" customWidth="1"/>
    <col min="8713" max="8713" width="6.44140625" style="1215" bestFit="1" customWidth="1"/>
    <col min="8714" max="8714" width="8.88671875" style="1215" customWidth="1"/>
    <col min="8715" max="8715" width="8.5546875" style="1215" customWidth="1"/>
    <col min="8716" max="8716" width="11.44140625" style="1215" bestFit="1" customWidth="1"/>
    <col min="8717" max="8717" width="7.88671875" style="1215" bestFit="1" customWidth="1"/>
    <col min="8718" max="8718" width="11.5546875" style="1215" bestFit="1" customWidth="1"/>
    <col min="8719" max="8719" width="8" style="1215" bestFit="1" customWidth="1"/>
    <col min="8720" max="8720" width="11.5546875" style="1215" bestFit="1" customWidth="1"/>
    <col min="8721" max="8721" width="8.109375" style="1215" bestFit="1" customWidth="1"/>
    <col min="8722" max="8722" width="11.5546875" style="1215" bestFit="1" customWidth="1"/>
    <col min="8723" max="8723" width="8.44140625" style="1215" customWidth="1"/>
    <col min="8724" max="8724" width="7.44140625" style="1215" bestFit="1" customWidth="1"/>
    <col min="8725" max="8725" width="11.5546875" style="1215" bestFit="1" customWidth="1"/>
    <col min="8726" max="8726" width="8.109375" style="1215" customWidth="1"/>
    <col min="8727" max="8727" width="13" style="1215" bestFit="1" customWidth="1"/>
    <col min="8728" max="8966" width="10.88671875" style="1215"/>
    <col min="8967" max="8967" width="8.88671875" style="1215" customWidth="1"/>
    <col min="8968" max="8968" width="50" style="1215" customWidth="1"/>
    <col min="8969" max="8969" width="6.44140625" style="1215" bestFit="1" customWidth="1"/>
    <col min="8970" max="8970" width="8.88671875" style="1215" customWidth="1"/>
    <col min="8971" max="8971" width="8.5546875" style="1215" customWidth="1"/>
    <col min="8972" max="8972" width="11.44140625" style="1215" bestFit="1" customWidth="1"/>
    <col min="8973" max="8973" width="7.88671875" style="1215" bestFit="1" customWidth="1"/>
    <col min="8974" max="8974" width="11.5546875" style="1215" bestFit="1" customWidth="1"/>
    <col min="8975" max="8975" width="8" style="1215" bestFit="1" customWidth="1"/>
    <col min="8976" max="8976" width="11.5546875" style="1215" bestFit="1" customWidth="1"/>
    <col min="8977" max="8977" width="8.109375" style="1215" bestFit="1" customWidth="1"/>
    <col min="8978" max="8978" width="11.5546875" style="1215" bestFit="1" customWidth="1"/>
    <col min="8979" max="8979" width="8.44140625" style="1215" customWidth="1"/>
    <col min="8980" max="8980" width="7.44140625" style="1215" bestFit="1" customWidth="1"/>
    <col min="8981" max="8981" width="11.5546875" style="1215" bestFit="1" customWidth="1"/>
    <col min="8982" max="8982" width="8.109375" style="1215" customWidth="1"/>
    <col min="8983" max="8983" width="13" style="1215" bestFit="1" customWidth="1"/>
    <col min="8984" max="9222" width="10.88671875" style="1215"/>
    <col min="9223" max="9223" width="8.88671875" style="1215" customWidth="1"/>
    <col min="9224" max="9224" width="50" style="1215" customWidth="1"/>
    <col min="9225" max="9225" width="6.44140625" style="1215" bestFit="1" customWidth="1"/>
    <col min="9226" max="9226" width="8.88671875" style="1215" customWidth="1"/>
    <col min="9227" max="9227" width="8.5546875" style="1215" customWidth="1"/>
    <col min="9228" max="9228" width="11.44140625" style="1215" bestFit="1" customWidth="1"/>
    <col min="9229" max="9229" width="7.88671875" style="1215" bestFit="1" customWidth="1"/>
    <col min="9230" max="9230" width="11.5546875" style="1215" bestFit="1" customWidth="1"/>
    <col min="9231" max="9231" width="8" style="1215" bestFit="1" customWidth="1"/>
    <col min="9232" max="9232" width="11.5546875" style="1215" bestFit="1" customWidth="1"/>
    <col min="9233" max="9233" width="8.109375" style="1215" bestFit="1" customWidth="1"/>
    <col min="9234" max="9234" width="11.5546875" style="1215" bestFit="1" customWidth="1"/>
    <col min="9235" max="9235" width="8.44140625" style="1215" customWidth="1"/>
    <col min="9236" max="9236" width="7.44140625" style="1215" bestFit="1" customWidth="1"/>
    <col min="9237" max="9237" width="11.5546875" style="1215" bestFit="1" customWidth="1"/>
    <col min="9238" max="9238" width="8.109375" style="1215" customWidth="1"/>
    <col min="9239" max="9239" width="13" style="1215" bestFit="1" customWidth="1"/>
    <col min="9240" max="9478" width="10.88671875" style="1215"/>
    <col min="9479" max="9479" width="8.88671875" style="1215" customWidth="1"/>
    <col min="9480" max="9480" width="50" style="1215" customWidth="1"/>
    <col min="9481" max="9481" width="6.44140625" style="1215" bestFit="1" customWidth="1"/>
    <col min="9482" max="9482" width="8.88671875" style="1215" customWidth="1"/>
    <col min="9483" max="9483" width="8.5546875" style="1215" customWidth="1"/>
    <col min="9484" max="9484" width="11.44140625" style="1215" bestFit="1" customWidth="1"/>
    <col min="9485" max="9485" width="7.88671875" style="1215" bestFit="1" customWidth="1"/>
    <col min="9486" max="9486" width="11.5546875" style="1215" bestFit="1" customWidth="1"/>
    <col min="9487" max="9487" width="8" style="1215" bestFit="1" customWidth="1"/>
    <col min="9488" max="9488" width="11.5546875" style="1215" bestFit="1" customWidth="1"/>
    <col min="9489" max="9489" width="8.109375" style="1215" bestFit="1" customWidth="1"/>
    <col min="9490" max="9490" width="11.5546875" style="1215" bestFit="1" customWidth="1"/>
    <col min="9491" max="9491" width="8.44140625" style="1215" customWidth="1"/>
    <col min="9492" max="9492" width="7.44140625" style="1215" bestFit="1" customWidth="1"/>
    <col min="9493" max="9493" width="11.5546875" style="1215" bestFit="1" customWidth="1"/>
    <col min="9494" max="9494" width="8.109375" style="1215" customWidth="1"/>
    <col min="9495" max="9495" width="13" style="1215" bestFit="1" customWidth="1"/>
    <col min="9496" max="9734" width="10.88671875" style="1215"/>
    <col min="9735" max="9735" width="8.88671875" style="1215" customWidth="1"/>
    <col min="9736" max="9736" width="50" style="1215" customWidth="1"/>
    <col min="9737" max="9737" width="6.44140625" style="1215" bestFit="1" customWidth="1"/>
    <col min="9738" max="9738" width="8.88671875" style="1215" customWidth="1"/>
    <col min="9739" max="9739" width="8.5546875" style="1215" customWidth="1"/>
    <col min="9740" max="9740" width="11.44140625" style="1215" bestFit="1" customWidth="1"/>
    <col min="9741" max="9741" width="7.88671875" style="1215" bestFit="1" customWidth="1"/>
    <col min="9742" max="9742" width="11.5546875" style="1215" bestFit="1" customWidth="1"/>
    <col min="9743" max="9743" width="8" style="1215" bestFit="1" customWidth="1"/>
    <col min="9744" max="9744" width="11.5546875" style="1215" bestFit="1" customWidth="1"/>
    <col min="9745" max="9745" width="8.109375" style="1215" bestFit="1" customWidth="1"/>
    <col min="9746" max="9746" width="11.5546875" style="1215" bestFit="1" customWidth="1"/>
    <col min="9747" max="9747" width="8.44140625" style="1215" customWidth="1"/>
    <col min="9748" max="9748" width="7.44140625" style="1215" bestFit="1" customWidth="1"/>
    <col min="9749" max="9749" width="11.5546875" style="1215" bestFit="1" customWidth="1"/>
    <col min="9750" max="9750" width="8.109375" style="1215" customWidth="1"/>
    <col min="9751" max="9751" width="13" style="1215" bestFit="1" customWidth="1"/>
    <col min="9752" max="9990" width="10.88671875" style="1215"/>
    <col min="9991" max="9991" width="8.88671875" style="1215" customWidth="1"/>
    <col min="9992" max="9992" width="50" style="1215" customWidth="1"/>
    <col min="9993" max="9993" width="6.44140625" style="1215" bestFit="1" customWidth="1"/>
    <col min="9994" max="9994" width="8.88671875" style="1215" customWidth="1"/>
    <col min="9995" max="9995" width="8.5546875" style="1215" customWidth="1"/>
    <col min="9996" max="9996" width="11.44140625" style="1215" bestFit="1" customWidth="1"/>
    <col min="9997" max="9997" width="7.88671875" style="1215" bestFit="1" customWidth="1"/>
    <col min="9998" max="9998" width="11.5546875" style="1215" bestFit="1" customWidth="1"/>
    <col min="9999" max="9999" width="8" style="1215" bestFit="1" customWidth="1"/>
    <col min="10000" max="10000" width="11.5546875" style="1215" bestFit="1" customWidth="1"/>
    <col min="10001" max="10001" width="8.109375" style="1215" bestFit="1" customWidth="1"/>
    <col min="10002" max="10002" width="11.5546875" style="1215" bestFit="1" customWidth="1"/>
    <col min="10003" max="10003" width="8.44140625" style="1215" customWidth="1"/>
    <col min="10004" max="10004" width="7.44140625" style="1215" bestFit="1" customWidth="1"/>
    <col min="10005" max="10005" width="11.5546875" style="1215" bestFit="1" customWidth="1"/>
    <col min="10006" max="10006" width="8.109375" style="1215" customWidth="1"/>
    <col min="10007" max="10007" width="13" style="1215" bestFit="1" customWidth="1"/>
    <col min="10008" max="10246" width="10.88671875" style="1215"/>
    <col min="10247" max="10247" width="8.88671875" style="1215" customWidth="1"/>
    <col min="10248" max="10248" width="50" style="1215" customWidth="1"/>
    <col min="10249" max="10249" width="6.44140625" style="1215" bestFit="1" customWidth="1"/>
    <col min="10250" max="10250" width="8.88671875" style="1215" customWidth="1"/>
    <col min="10251" max="10251" width="8.5546875" style="1215" customWidth="1"/>
    <col min="10252" max="10252" width="11.44140625" style="1215" bestFit="1" customWidth="1"/>
    <col min="10253" max="10253" width="7.88671875" style="1215" bestFit="1" customWidth="1"/>
    <col min="10254" max="10254" width="11.5546875" style="1215" bestFit="1" customWidth="1"/>
    <col min="10255" max="10255" width="8" style="1215" bestFit="1" customWidth="1"/>
    <col min="10256" max="10256" width="11.5546875" style="1215" bestFit="1" customWidth="1"/>
    <col min="10257" max="10257" width="8.109375" style="1215" bestFit="1" customWidth="1"/>
    <col min="10258" max="10258" width="11.5546875" style="1215" bestFit="1" customWidth="1"/>
    <col min="10259" max="10259" width="8.44140625" style="1215" customWidth="1"/>
    <col min="10260" max="10260" width="7.44140625" style="1215" bestFit="1" customWidth="1"/>
    <col min="10261" max="10261" width="11.5546875" style="1215" bestFit="1" customWidth="1"/>
    <col min="10262" max="10262" width="8.109375" style="1215" customWidth="1"/>
    <col min="10263" max="10263" width="13" style="1215" bestFit="1" customWidth="1"/>
    <col min="10264" max="10502" width="10.88671875" style="1215"/>
    <col min="10503" max="10503" width="8.88671875" style="1215" customWidth="1"/>
    <col min="10504" max="10504" width="50" style="1215" customWidth="1"/>
    <col min="10505" max="10505" width="6.44140625" style="1215" bestFit="1" customWidth="1"/>
    <col min="10506" max="10506" width="8.88671875" style="1215" customWidth="1"/>
    <col min="10507" max="10507" width="8.5546875" style="1215" customWidth="1"/>
    <col min="10508" max="10508" width="11.44140625" style="1215" bestFit="1" customWidth="1"/>
    <col min="10509" max="10509" width="7.88671875" style="1215" bestFit="1" customWidth="1"/>
    <col min="10510" max="10510" width="11.5546875" style="1215" bestFit="1" customWidth="1"/>
    <col min="10511" max="10511" width="8" style="1215" bestFit="1" customWidth="1"/>
    <col min="10512" max="10512" width="11.5546875" style="1215" bestFit="1" customWidth="1"/>
    <col min="10513" max="10513" width="8.109375" style="1215" bestFit="1" customWidth="1"/>
    <col min="10514" max="10514" width="11.5546875" style="1215" bestFit="1" customWidth="1"/>
    <col min="10515" max="10515" width="8.44140625" style="1215" customWidth="1"/>
    <col min="10516" max="10516" width="7.44140625" style="1215" bestFit="1" customWidth="1"/>
    <col min="10517" max="10517" width="11.5546875" style="1215" bestFit="1" customWidth="1"/>
    <col min="10518" max="10518" width="8.109375" style="1215" customWidth="1"/>
    <col min="10519" max="10519" width="13" style="1215" bestFit="1" customWidth="1"/>
    <col min="10520" max="10758" width="10.88671875" style="1215"/>
    <col min="10759" max="10759" width="8.88671875" style="1215" customWidth="1"/>
    <col min="10760" max="10760" width="50" style="1215" customWidth="1"/>
    <col min="10761" max="10761" width="6.44140625" style="1215" bestFit="1" customWidth="1"/>
    <col min="10762" max="10762" width="8.88671875" style="1215" customWidth="1"/>
    <col min="10763" max="10763" width="8.5546875" style="1215" customWidth="1"/>
    <col min="10764" max="10764" width="11.44140625" style="1215" bestFit="1" customWidth="1"/>
    <col min="10765" max="10765" width="7.88671875" style="1215" bestFit="1" customWidth="1"/>
    <col min="10766" max="10766" width="11.5546875" style="1215" bestFit="1" customWidth="1"/>
    <col min="10767" max="10767" width="8" style="1215" bestFit="1" customWidth="1"/>
    <col min="10768" max="10768" width="11.5546875" style="1215" bestFit="1" customWidth="1"/>
    <col min="10769" max="10769" width="8.109375" style="1215" bestFit="1" customWidth="1"/>
    <col min="10770" max="10770" width="11.5546875" style="1215" bestFit="1" customWidth="1"/>
    <col min="10771" max="10771" width="8.44140625" style="1215" customWidth="1"/>
    <col min="10772" max="10772" width="7.44140625" style="1215" bestFit="1" customWidth="1"/>
    <col min="10773" max="10773" width="11.5546875" style="1215" bestFit="1" customWidth="1"/>
    <col min="10774" max="10774" width="8.109375" style="1215" customWidth="1"/>
    <col min="10775" max="10775" width="13" style="1215" bestFit="1" customWidth="1"/>
    <col min="10776" max="11014" width="10.88671875" style="1215"/>
    <col min="11015" max="11015" width="8.88671875" style="1215" customWidth="1"/>
    <col min="11016" max="11016" width="50" style="1215" customWidth="1"/>
    <col min="11017" max="11017" width="6.44140625" style="1215" bestFit="1" customWidth="1"/>
    <col min="11018" max="11018" width="8.88671875" style="1215" customWidth="1"/>
    <col min="11019" max="11019" width="8.5546875" style="1215" customWidth="1"/>
    <col min="11020" max="11020" width="11.44140625" style="1215" bestFit="1" customWidth="1"/>
    <col min="11021" max="11021" width="7.88671875" style="1215" bestFit="1" customWidth="1"/>
    <col min="11022" max="11022" width="11.5546875" style="1215" bestFit="1" customWidth="1"/>
    <col min="11023" max="11023" width="8" style="1215" bestFit="1" customWidth="1"/>
    <col min="11024" max="11024" width="11.5546875" style="1215" bestFit="1" customWidth="1"/>
    <col min="11025" max="11025" width="8.109375" style="1215" bestFit="1" customWidth="1"/>
    <col min="11026" max="11026" width="11.5546875" style="1215" bestFit="1" customWidth="1"/>
    <col min="11027" max="11027" width="8.44140625" style="1215" customWidth="1"/>
    <col min="11028" max="11028" width="7.44140625" style="1215" bestFit="1" customWidth="1"/>
    <col min="11029" max="11029" width="11.5546875" style="1215" bestFit="1" customWidth="1"/>
    <col min="11030" max="11030" width="8.109375" style="1215" customWidth="1"/>
    <col min="11031" max="11031" width="13" style="1215" bestFit="1" customWidth="1"/>
    <col min="11032" max="11270" width="10.88671875" style="1215"/>
    <col min="11271" max="11271" width="8.88671875" style="1215" customWidth="1"/>
    <col min="11272" max="11272" width="50" style="1215" customWidth="1"/>
    <col min="11273" max="11273" width="6.44140625" style="1215" bestFit="1" customWidth="1"/>
    <col min="11274" max="11274" width="8.88671875" style="1215" customWidth="1"/>
    <col min="11275" max="11275" width="8.5546875" style="1215" customWidth="1"/>
    <col min="11276" max="11276" width="11.44140625" style="1215" bestFit="1" customWidth="1"/>
    <col min="11277" max="11277" width="7.88671875" style="1215" bestFit="1" customWidth="1"/>
    <col min="11278" max="11278" width="11.5546875" style="1215" bestFit="1" customWidth="1"/>
    <col min="11279" max="11279" width="8" style="1215" bestFit="1" customWidth="1"/>
    <col min="11280" max="11280" width="11.5546875" style="1215" bestFit="1" customWidth="1"/>
    <col min="11281" max="11281" width="8.109375" style="1215" bestFit="1" customWidth="1"/>
    <col min="11282" max="11282" width="11.5546875" style="1215" bestFit="1" customWidth="1"/>
    <col min="11283" max="11283" width="8.44140625" style="1215" customWidth="1"/>
    <col min="11284" max="11284" width="7.44140625" style="1215" bestFit="1" customWidth="1"/>
    <col min="11285" max="11285" width="11.5546875" style="1215" bestFit="1" customWidth="1"/>
    <col min="11286" max="11286" width="8.109375" style="1215" customWidth="1"/>
    <col min="11287" max="11287" width="13" style="1215" bestFit="1" customWidth="1"/>
    <col min="11288" max="11526" width="10.88671875" style="1215"/>
    <col min="11527" max="11527" width="8.88671875" style="1215" customWidth="1"/>
    <col min="11528" max="11528" width="50" style="1215" customWidth="1"/>
    <col min="11529" max="11529" width="6.44140625" style="1215" bestFit="1" customWidth="1"/>
    <col min="11530" max="11530" width="8.88671875" style="1215" customWidth="1"/>
    <col min="11531" max="11531" width="8.5546875" style="1215" customWidth="1"/>
    <col min="11532" max="11532" width="11.44140625" style="1215" bestFit="1" customWidth="1"/>
    <col min="11533" max="11533" width="7.88671875" style="1215" bestFit="1" customWidth="1"/>
    <col min="11534" max="11534" width="11.5546875" style="1215" bestFit="1" customWidth="1"/>
    <col min="11535" max="11535" width="8" style="1215" bestFit="1" customWidth="1"/>
    <col min="11536" max="11536" width="11.5546875" style="1215" bestFit="1" customWidth="1"/>
    <col min="11537" max="11537" width="8.109375" style="1215" bestFit="1" customWidth="1"/>
    <col min="11538" max="11538" width="11.5546875" style="1215" bestFit="1" customWidth="1"/>
    <col min="11539" max="11539" width="8.44140625" style="1215" customWidth="1"/>
    <col min="11540" max="11540" width="7.44140625" style="1215" bestFit="1" customWidth="1"/>
    <col min="11541" max="11541" width="11.5546875" style="1215" bestFit="1" customWidth="1"/>
    <col min="11542" max="11542" width="8.109375" style="1215" customWidth="1"/>
    <col min="11543" max="11543" width="13" style="1215" bestFit="1" customWidth="1"/>
    <col min="11544" max="11782" width="10.88671875" style="1215"/>
    <col min="11783" max="11783" width="8.88671875" style="1215" customWidth="1"/>
    <col min="11784" max="11784" width="50" style="1215" customWidth="1"/>
    <col min="11785" max="11785" width="6.44140625" style="1215" bestFit="1" customWidth="1"/>
    <col min="11786" max="11786" width="8.88671875" style="1215" customWidth="1"/>
    <col min="11787" max="11787" width="8.5546875" style="1215" customWidth="1"/>
    <col min="11788" max="11788" width="11.44140625" style="1215" bestFit="1" customWidth="1"/>
    <col min="11789" max="11789" width="7.88671875" style="1215" bestFit="1" customWidth="1"/>
    <col min="11790" max="11790" width="11.5546875" style="1215" bestFit="1" customWidth="1"/>
    <col min="11791" max="11791" width="8" style="1215" bestFit="1" customWidth="1"/>
    <col min="11792" max="11792" width="11.5546875" style="1215" bestFit="1" customWidth="1"/>
    <col min="11793" max="11793" width="8.109375" style="1215" bestFit="1" customWidth="1"/>
    <col min="11794" max="11794" width="11.5546875" style="1215" bestFit="1" customWidth="1"/>
    <col min="11795" max="11795" width="8.44140625" style="1215" customWidth="1"/>
    <col min="11796" max="11796" width="7.44140625" style="1215" bestFit="1" customWidth="1"/>
    <col min="11797" max="11797" width="11.5546875" style="1215" bestFit="1" customWidth="1"/>
    <col min="11798" max="11798" width="8.109375" style="1215" customWidth="1"/>
    <col min="11799" max="11799" width="13" style="1215" bestFit="1" customWidth="1"/>
    <col min="11800" max="12038" width="10.88671875" style="1215"/>
    <col min="12039" max="12039" width="8.88671875" style="1215" customWidth="1"/>
    <col min="12040" max="12040" width="50" style="1215" customWidth="1"/>
    <col min="12041" max="12041" width="6.44140625" style="1215" bestFit="1" customWidth="1"/>
    <col min="12042" max="12042" width="8.88671875" style="1215" customWidth="1"/>
    <col min="12043" max="12043" width="8.5546875" style="1215" customWidth="1"/>
    <col min="12044" max="12044" width="11.44140625" style="1215" bestFit="1" customWidth="1"/>
    <col min="12045" max="12045" width="7.88671875" style="1215" bestFit="1" customWidth="1"/>
    <col min="12046" max="12046" width="11.5546875" style="1215" bestFit="1" customWidth="1"/>
    <col min="12047" max="12047" width="8" style="1215" bestFit="1" customWidth="1"/>
    <col min="12048" max="12048" width="11.5546875" style="1215" bestFit="1" customWidth="1"/>
    <col min="12049" max="12049" width="8.109375" style="1215" bestFit="1" customWidth="1"/>
    <col min="12050" max="12050" width="11.5546875" style="1215" bestFit="1" customWidth="1"/>
    <col min="12051" max="12051" width="8.44140625" style="1215" customWidth="1"/>
    <col min="12052" max="12052" width="7.44140625" style="1215" bestFit="1" customWidth="1"/>
    <col min="12053" max="12053" width="11.5546875" style="1215" bestFit="1" customWidth="1"/>
    <col min="12054" max="12054" width="8.109375" style="1215" customWidth="1"/>
    <col min="12055" max="12055" width="13" style="1215" bestFit="1" customWidth="1"/>
    <col min="12056" max="12294" width="10.88671875" style="1215"/>
    <col min="12295" max="12295" width="8.88671875" style="1215" customWidth="1"/>
    <col min="12296" max="12296" width="50" style="1215" customWidth="1"/>
    <col min="12297" max="12297" width="6.44140625" style="1215" bestFit="1" customWidth="1"/>
    <col min="12298" max="12298" width="8.88671875" style="1215" customWidth="1"/>
    <col min="12299" max="12299" width="8.5546875" style="1215" customWidth="1"/>
    <col min="12300" max="12300" width="11.44140625" style="1215" bestFit="1" customWidth="1"/>
    <col min="12301" max="12301" width="7.88671875" style="1215" bestFit="1" customWidth="1"/>
    <col min="12302" max="12302" width="11.5546875" style="1215" bestFit="1" customWidth="1"/>
    <col min="12303" max="12303" width="8" style="1215" bestFit="1" customWidth="1"/>
    <col min="12304" max="12304" width="11.5546875" style="1215" bestFit="1" customWidth="1"/>
    <col min="12305" max="12305" width="8.109375" style="1215" bestFit="1" customWidth="1"/>
    <col min="12306" max="12306" width="11.5546875" style="1215" bestFit="1" customWidth="1"/>
    <col min="12307" max="12307" width="8.44140625" style="1215" customWidth="1"/>
    <col min="12308" max="12308" width="7.44140625" style="1215" bestFit="1" customWidth="1"/>
    <col min="12309" max="12309" width="11.5546875" style="1215" bestFit="1" customWidth="1"/>
    <col min="12310" max="12310" width="8.109375" style="1215" customWidth="1"/>
    <col min="12311" max="12311" width="13" style="1215" bestFit="1" customWidth="1"/>
    <col min="12312" max="12550" width="10.88671875" style="1215"/>
    <col min="12551" max="12551" width="8.88671875" style="1215" customWidth="1"/>
    <col min="12552" max="12552" width="50" style="1215" customWidth="1"/>
    <col min="12553" max="12553" width="6.44140625" style="1215" bestFit="1" customWidth="1"/>
    <col min="12554" max="12554" width="8.88671875" style="1215" customWidth="1"/>
    <col min="12555" max="12555" width="8.5546875" style="1215" customWidth="1"/>
    <col min="12556" max="12556" width="11.44140625" style="1215" bestFit="1" customWidth="1"/>
    <col min="12557" max="12557" width="7.88671875" style="1215" bestFit="1" customWidth="1"/>
    <col min="12558" max="12558" width="11.5546875" style="1215" bestFit="1" customWidth="1"/>
    <col min="12559" max="12559" width="8" style="1215" bestFit="1" customWidth="1"/>
    <col min="12560" max="12560" width="11.5546875" style="1215" bestFit="1" customWidth="1"/>
    <col min="12561" max="12561" width="8.109375" style="1215" bestFit="1" customWidth="1"/>
    <col min="12562" max="12562" width="11.5546875" style="1215" bestFit="1" customWidth="1"/>
    <col min="12563" max="12563" width="8.44140625" style="1215" customWidth="1"/>
    <col min="12564" max="12564" width="7.44140625" style="1215" bestFit="1" customWidth="1"/>
    <col min="12565" max="12565" width="11.5546875" style="1215" bestFit="1" customWidth="1"/>
    <col min="12566" max="12566" width="8.109375" style="1215" customWidth="1"/>
    <col min="12567" max="12567" width="13" style="1215" bestFit="1" customWidth="1"/>
    <col min="12568" max="12806" width="10.88671875" style="1215"/>
    <col min="12807" max="12807" width="8.88671875" style="1215" customWidth="1"/>
    <col min="12808" max="12808" width="50" style="1215" customWidth="1"/>
    <col min="12809" max="12809" width="6.44140625" style="1215" bestFit="1" customWidth="1"/>
    <col min="12810" max="12810" width="8.88671875" style="1215" customWidth="1"/>
    <col min="12811" max="12811" width="8.5546875" style="1215" customWidth="1"/>
    <col min="12812" max="12812" width="11.44140625" style="1215" bestFit="1" customWidth="1"/>
    <col min="12813" max="12813" width="7.88671875" style="1215" bestFit="1" customWidth="1"/>
    <col min="12814" max="12814" width="11.5546875" style="1215" bestFit="1" customWidth="1"/>
    <col min="12815" max="12815" width="8" style="1215" bestFit="1" customWidth="1"/>
    <col min="12816" max="12816" width="11.5546875" style="1215" bestFit="1" customWidth="1"/>
    <col min="12817" max="12817" width="8.109375" style="1215" bestFit="1" customWidth="1"/>
    <col min="12818" max="12818" width="11.5546875" style="1215" bestFit="1" customWidth="1"/>
    <col min="12819" max="12819" width="8.44140625" style="1215" customWidth="1"/>
    <col min="12820" max="12820" width="7.44140625" style="1215" bestFit="1" customWidth="1"/>
    <col min="12821" max="12821" width="11.5546875" style="1215" bestFit="1" customWidth="1"/>
    <col min="12822" max="12822" width="8.109375" style="1215" customWidth="1"/>
    <col min="12823" max="12823" width="13" style="1215" bestFit="1" customWidth="1"/>
    <col min="12824" max="13062" width="10.88671875" style="1215"/>
    <col min="13063" max="13063" width="8.88671875" style="1215" customWidth="1"/>
    <col min="13064" max="13064" width="50" style="1215" customWidth="1"/>
    <col min="13065" max="13065" width="6.44140625" style="1215" bestFit="1" customWidth="1"/>
    <col min="13066" max="13066" width="8.88671875" style="1215" customWidth="1"/>
    <col min="13067" max="13067" width="8.5546875" style="1215" customWidth="1"/>
    <col min="13068" max="13068" width="11.44140625" style="1215" bestFit="1" customWidth="1"/>
    <col min="13069" max="13069" width="7.88671875" style="1215" bestFit="1" customWidth="1"/>
    <col min="13070" max="13070" width="11.5546875" style="1215" bestFit="1" customWidth="1"/>
    <col min="13071" max="13071" width="8" style="1215" bestFit="1" customWidth="1"/>
    <col min="13072" max="13072" width="11.5546875" style="1215" bestFit="1" customWidth="1"/>
    <col min="13073" max="13073" width="8.109375" style="1215" bestFit="1" customWidth="1"/>
    <col min="13074" max="13074" width="11.5546875" style="1215" bestFit="1" customWidth="1"/>
    <col min="13075" max="13075" width="8.44140625" style="1215" customWidth="1"/>
    <col min="13076" max="13076" width="7.44140625" style="1215" bestFit="1" customWidth="1"/>
    <col min="13077" max="13077" width="11.5546875" style="1215" bestFit="1" customWidth="1"/>
    <col min="13078" max="13078" width="8.109375" style="1215" customWidth="1"/>
    <col min="13079" max="13079" width="13" style="1215" bestFit="1" customWidth="1"/>
    <col min="13080" max="13318" width="10.88671875" style="1215"/>
    <col min="13319" max="13319" width="8.88671875" style="1215" customWidth="1"/>
    <col min="13320" max="13320" width="50" style="1215" customWidth="1"/>
    <col min="13321" max="13321" width="6.44140625" style="1215" bestFit="1" customWidth="1"/>
    <col min="13322" max="13322" width="8.88671875" style="1215" customWidth="1"/>
    <col min="13323" max="13323" width="8.5546875" style="1215" customWidth="1"/>
    <col min="13324" max="13324" width="11.44140625" style="1215" bestFit="1" customWidth="1"/>
    <col min="13325" max="13325" width="7.88671875" style="1215" bestFit="1" customWidth="1"/>
    <col min="13326" max="13326" width="11.5546875" style="1215" bestFit="1" customWidth="1"/>
    <col min="13327" max="13327" width="8" style="1215" bestFit="1" customWidth="1"/>
    <col min="13328" max="13328" width="11.5546875" style="1215" bestFit="1" customWidth="1"/>
    <col min="13329" max="13329" width="8.109375" style="1215" bestFit="1" customWidth="1"/>
    <col min="13330" max="13330" width="11.5546875" style="1215" bestFit="1" customWidth="1"/>
    <col min="13331" max="13331" width="8.44140625" style="1215" customWidth="1"/>
    <col min="13332" max="13332" width="7.44140625" style="1215" bestFit="1" customWidth="1"/>
    <col min="13333" max="13333" width="11.5546875" style="1215" bestFit="1" customWidth="1"/>
    <col min="13334" max="13334" width="8.109375" style="1215" customWidth="1"/>
    <col min="13335" max="13335" width="13" style="1215" bestFit="1" customWidth="1"/>
    <col min="13336" max="13574" width="10.88671875" style="1215"/>
    <col min="13575" max="13575" width="8.88671875" style="1215" customWidth="1"/>
    <col min="13576" max="13576" width="50" style="1215" customWidth="1"/>
    <col min="13577" max="13577" width="6.44140625" style="1215" bestFit="1" customWidth="1"/>
    <col min="13578" max="13578" width="8.88671875" style="1215" customWidth="1"/>
    <col min="13579" max="13579" width="8.5546875" style="1215" customWidth="1"/>
    <col min="13580" max="13580" width="11.44140625" style="1215" bestFit="1" customWidth="1"/>
    <col min="13581" max="13581" width="7.88671875" style="1215" bestFit="1" customWidth="1"/>
    <col min="13582" max="13582" width="11.5546875" style="1215" bestFit="1" customWidth="1"/>
    <col min="13583" max="13583" width="8" style="1215" bestFit="1" customWidth="1"/>
    <col min="13584" max="13584" width="11.5546875" style="1215" bestFit="1" customWidth="1"/>
    <col min="13585" max="13585" width="8.109375" style="1215" bestFit="1" customWidth="1"/>
    <col min="13586" max="13586" width="11.5546875" style="1215" bestFit="1" customWidth="1"/>
    <col min="13587" max="13587" width="8.44140625" style="1215" customWidth="1"/>
    <col min="13588" max="13588" width="7.44140625" style="1215" bestFit="1" customWidth="1"/>
    <col min="13589" max="13589" width="11.5546875" style="1215" bestFit="1" customWidth="1"/>
    <col min="13590" max="13590" width="8.109375" style="1215" customWidth="1"/>
    <col min="13591" max="13591" width="13" style="1215" bestFit="1" customWidth="1"/>
    <col min="13592" max="13830" width="10.88671875" style="1215"/>
    <col min="13831" max="13831" width="8.88671875" style="1215" customWidth="1"/>
    <col min="13832" max="13832" width="50" style="1215" customWidth="1"/>
    <col min="13833" max="13833" width="6.44140625" style="1215" bestFit="1" customWidth="1"/>
    <col min="13834" max="13834" width="8.88671875" style="1215" customWidth="1"/>
    <col min="13835" max="13835" width="8.5546875" style="1215" customWidth="1"/>
    <col min="13836" max="13836" width="11.44140625" style="1215" bestFit="1" customWidth="1"/>
    <col min="13837" max="13837" width="7.88671875" style="1215" bestFit="1" customWidth="1"/>
    <col min="13838" max="13838" width="11.5546875" style="1215" bestFit="1" customWidth="1"/>
    <col min="13839" max="13839" width="8" style="1215" bestFit="1" customWidth="1"/>
    <col min="13840" max="13840" width="11.5546875" style="1215" bestFit="1" customWidth="1"/>
    <col min="13841" max="13841" width="8.109375" style="1215" bestFit="1" customWidth="1"/>
    <col min="13842" max="13842" width="11.5546875" style="1215" bestFit="1" customWidth="1"/>
    <col min="13843" max="13843" width="8.44140625" style="1215" customWidth="1"/>
    <col min="13844" max="13844" width="7.44140625" style="1215" bestFit="1" customWidth="1"/>
    <col min="13845" max="13845" width="11.5546875" style="1215" bestFit="1" customWidth="1"/>
    <col min="13846" max="13846" width="8.109375" style="1215" customWidth="1"/>
    <col min="13847" max="13847" width="13" style="1215" bestFit="1" customWidth="1"/>
    <col min="13848" max="14086" width="10.88671875" style="1215"/>
    <col min="14087" max="14087" width="8.88671875" style="1215" customWidth="1"/>
    <col min="14088" max="14088" width="50" style="1215" customWidth="1"/>
    <col min="14089" max="14089" width="6.44140625" style="1215" bestFit="1" customWidth="1"/>
    <col min="14090" max="14090" width="8.88671875" style="1215" customWidth="1"/>
    <col min="14091" max="14091" width="8.5546875" style="1215" customWidth="1"/>
    <col min="14092" max="14092" width="11.44140625" style="1215" bestFit="1" customWidth="1"/>
    <col min="14093" max="14093" width="7.88671875" style="1215" bestFit="1" customWidth="1"/>
    <col min="14094" max="14094" width="11.5546875" style="1215" bestFit="1" customWidth="1"/>
    <col min="14095" max="14095" width="8" style="1215" bestFit="1" customWidth="1"/>
    <col min="14096" max="14096" width="11.5546875" style="1215" bestFit="1" customWidth="1"/>
    <col min="14097" max="14097" width="8.109375" style="1215" bestFit="1" customWidth="1"/>
    <col min="14098" max="14098" width="11.5546875" style="1215" bestFit="1" customWidth="1"/>
    <col min="14099" max="14099" width="8.44140625" style="1215" customWidth="1"/>
    <col min="14100" max="14100" width="7.44140625" style="1215" bestFit="1" customWidth="1"/>
    <col min="14101" max="14101" width="11.5546875" style="1215" bestFit="1" customWidth="1"/>
    <col min="14102" max="14102" width="8.109375" style="1215" customWidth="1"/>
    <col min="14103" max="14103" width="13" style="1215" bestFit="1" customWidth="1"/>
    <col min="14104" max="14342" width="10.88671875" style="1215"/>
    <col min="14343" max="14343" width="8.88671875" style="1215" customWidth="1"/>
    <col min="14344" max="14344" width="50" style="1215" customWidth="1"/>
    <col min="14345" max="14345" width="6.44140625" style="1215" bestFit="1" customWidth="1"/>
    <col min="14346" max="14346" width="8.88671875" style="1215" customWidth="1"/>
    <col min="14347" max="14347" width="8.5546875" style="1215" customWidth="1"/>
    <col min="14348" max="14348" width="11.44140625" style="1215" bestFit="1" customWidth="1"/>
    <col min="14349" max="14349" width="7.88671875" style="1215" bestFit="1" customWidth="1"/>
    <col min="14350" max="14350" width="11.5546875" style="1215" bestFit="1" customWidth="1"/>
    <col min="14351" max="14351" width="8" style="1215" bestFit="1" customWidth="1"/>
    <col min="14352" max="14352" width="11.5546875" style="1215" bestFit="1" customWidth="1"/>
    <col min="14353" max="14353" width="8.109375" style="1215" bestFit="1" customWidth="1"/>
    <col min="14354" max="14354" width="11.5546875" style="1215" bestFit="1" customWidth="1"/>
    <col min="14355" max="14355" width="8.44140625" style="1215" customWidth="1"/>
    <col min="14356" max="14356" width="7.44140625" style="1215" bestFit="1" customWidth="1"/>
    <col min="14357" max="14357" width="11.5546875" style="1215" bestFit="1" customWidth="1"/>
    <col min="14358" max="14358" width="8.109375" style="1215" customWidth="1"/>
    <col min="14359" max="14359" width="13" style="1215" bestFit="1" customWidth="1"/>
    <col min="14360" max="14598" width="10.88671875" style="1215"/>
    <col min="14599" max="14599" width="8.88671875" style="1215" customWidth="1"/>
    <col min="14600" max="14600" width="50" style="1215" customWidth="1"/>
    <col min="14601" max="14601" width="6.44140625" style="1215" bestFit="1" customWidth="1"/>
    <col min="14602" max="14602" width="8.88671875" style="1215" customWidth="1"/>
    <col min="14603" max="14603" width="8.5546875" style="1215" customWidth="1"/>
    <col min="14604" max="14604" width="11.44140625" style="1215" bestFit="1" customWidth="1"/>
    <col min="14605" max="14605" width="7.88671875" style="1215" bestFit="1" customWidth="1"/>
    <col min="14606" max="14606" width="11.5546875" style="1215" bestFit="1" customWidth="1"/>
    <col min="14607" max="14607" width="8" style="1215" bestFit="1" customWidth="1"/>
    <col min="14608" max="14608" width="11.5546875" style="1215" bestFit="1" customWidth="1"/>
    <col min="14609" max="14609" width="8.109375" style="1215" bestFit="1" customWidth="1"/>
    <col min="14610" max="14610" width="11.5546875" style="1215" bestFit="1" customWidth="1"/>
    <col min="14611" max="14611" width="8.44140625" style="1215" customWidth="1"/>
    <col min="14612" max="14612" width="7.44140625" style="1215" bestFit="1" customWidth="1"/>
    <col min="14613" max="14613" width="11.5546875" style="1215" bestFit="1" customWidth="1"/>
    <col min="14614" max="14614" width="8.109375" style="1215" customWidth="1"/>
    <col min="14615" max="14615" width="13" style="1215" bestFit="1" customWidth="1"/>
    <col min="14616" max="14854" width="10.88671875" style="1215"/>
    <col min="14855" max="14855" width="8.88671875" style="1215" customWidth="1"/>
    <col min="14856" max="14856" width="50" style="1215" customWidth="1"/>
    <col min="14857" max="14857" width="6.44140625" style="1215" bestFit="1" customWidth="1"/>
    <col min="14858" max="14858" width="8.88671875" style="1215" customWidth="1"/>
    <col min="14859" max="14859" width="8.5546875" style="1215" customWidth="1"/>
    <col min="14860" max="14860" width="11.44140625" style="1215" bestFit="1" customWidth="1"/>
    <col min="14861" max="14861" width="7.88671875" style="1215" bestFit="1" customWidth="1"/>
    <col min="14862" max="14862" width="11.5546875" style="1215" bestFit="1" customWidth="1"/>
    <col min="14863" max="14863" width="8" style="1215" bestFit="1" customWidth="1"/>
    <col min="14864" max="14864" width="11.5546875" style="1215" bestFit="1" customWidth="1"/>
    <col min="14865" max="14865" width="8.109375" style="1215" bestFit="1" customWidth="1"/>
    <col min="14866" max="14866" width="11.5546875" style="1215" bestFit="1" customWidth="1"/>
    <col min="14867" max="14867" width="8.44140625" style="1215" customWidth="1"/>
    <col min="14868" max="14868" width="7.44140625" style="1215" bestFit="1" customWidth="1"/>
    <col min="14869" max="14869" width="11.5546875" style="1215" bestFit="1" customWidth="1"/>
    <col min="14870" max="14870" width="8.109375" style="1215" customWidth="1"/>
    <col min="14871" max="14871" width="13" style="1215" bestFit="1" customWidth="1"/>
    <col min="14872" max="15110" width="10.88671875" style="1215"/>
    <col min="15111" max="15111" width="8.88671875" style="1215" customWidth="1"/>
    <col min="15112" max="15112" width="50" style="1215" customWidth="1"/>
    <col min="15113" max="15113" width="6.44140625" style="1215" bestFit="1" customWidth="1"/>
    <col min="15114" max="15114" width="8.88671875" style="1215" customWidth="1"/>
    <col min="15115" max="15115" width="8.5546875" style="1215" customWidth="1"/>
    <col min="15116" max="15116" width="11.44140625" style="1215" bestFit="1" customWidth="1"/>
    <col min="15117" max="15117" width="7.88671875" style="1215" bestFit="1" customWidth="1"/>
    <col min="15118" max="15118" width="11.5546875" style="1215" bestFit="1" customWidth="1"/>
    <col min="15119" max="15119" width="8" style="1215" bestFit="1" customWidth="1"/>
    <col min="15120" max="15120" width="11.5546875" style="1215" bestFit="1" customWidth="1"/>
    <col min="15121" max="15121" width="8.109375" style="1215" bestFit="1" customWidth="1"/>
    <col min="15122" max="15122" width="11.5546875" style="1215" bestFit="1" customWidth="1"/>
    <col min="15123" max="15123" width="8.44140625" style="1215" customWidth="1"/>
    <col min="15124" max="15124" width="7.44140625" style="1215" bestFit="1" customWidth="1"/>
    <col min="15125" max="15125" width="11.5546875" style="1215" bestFit="1" customWidth="1"/>
    <col min="15126" max="15126" width="8.109375" style="1215" customWidth="1"/>
    <col min="15127" max="15127" width="13" style="1215" bestFit="1" customWidth="1"/>
    <col min="15128" max="15366" width="10.88671875" style="1215"/>
    <col min="15367" max="15367" width="8.88671875" style="1215" customWidth="1"/>
    <col min="15368" max="15368" width="50" style="1215" customWidth="1"/>
    <col min="15369" max="15369" width="6.44140625" style="1215" bestFit="1" customWidth="1"/>
    <col min="15370" max="15370" width="8.88671875" style="1215" customWidth="1"/>
    <col min="15371" max="15371" width="8.5546875" style="1215" customWidth="1"/>
    <col min="15372" max="15372" width="11.44140625" style="1215" bestFit="1" customWidth="1"/>
    <col min="15373" max="15373" width="7.88671875" style="1215" bestFit="1" customWidth="1"/>
    <col min="15374" max="15374" width="11.5546875" style="1215" bestFit="1" customWidth="1"/>
    <col min="15375" max="15375" width="8" style="1215" bestFit="1" customWidth="1"/>
    <col min="15376" max="15376" width="11.5546875" style="1215" bestFit="1" customWidth="1"/>
    <col min="15377" max="15377" width="8.109375" style="1215" bestFit="1" customWidth="1"/>
    <col min="15378" max="15378" width="11.5546875" style="1215" bestFit="1" customWidth="1"/>
    <col min="15379" max="15379" width="8.44140625" style="1215" customWidth="1"/>
    <col min="15380" max="15380" width="7.44140625" style="1215" bestFit="1" customWidth="1"/>
    <col min="15381" max="15381" width="11.5546875" style="1215" bestFit="1" customWidth="1"/>
    <col min="15382" max="15382" width="8.109375" style="1215" customWidth="1"/>
    <col min="15383" max="15383" width="13" style="1215" bestFit="1" customWidth="1"/>
    <col min="15384" max="15622" width="10.88671875" style="1215"/>
    <col min="15623" max="15623" width="8.88671875" style="1215" customWidth="1"/>
    <col min="15624" max="15624" width="50" style="1215" customWidth="1"/>
    <col min="15625" max="15625" width="6.44140625" style="1215" bestFit="1" customWidth="1"/>
    <col min="15626" max="15626" width="8.88671875" style="1215" customWidth="1"/>
    <col min="15627" max="15627" width="8.5546875" style="1215" customWidth="1"/>
    <col min="15628" max="15628" width="11.44140625" style="1215" bestFit="1" customWidth="1"/>
    <col min="15629" max="15629" width="7.88671875" style="1215" bestFit="1" customWidth="1"/>
    <col min="15630" max="15630" width="11.5546875" style="1215" bestFit="1" customWidth="1"/>
    <col min="15631" max="15631" width="8" style="1215" bestFit="1" customWidth="1"/>
    <col min="15632" max="15632" width="11.5546875" style="1215" bestFit="1" customWidth="1"/>
    <col min="15633" max="15633" width="8.109375" style="1215" bestFit="1" customWidth="1"/>
    <col min="15634" max="15634" width="11.5546875" style="1215" bestFit="1" customWidth="1"/>
    <col min="15635" max="15635" width="8.44140625" style="1215" customWidth="1"/>
    <col min="15636" max="15636" width="7.44140625" style="1215" bestFit="1" customWidth="1"/>
    <col min="15637" max="15637" width="11.5546875" style="1215" bestFit="1" customWidth="1"/>
    <col min="15638" max="15638" width="8.109375" style="1215" customWidth="1"/>
    <col min="15639" max="15639" width="13" style="1215" bestFit="1" customWidth="1"/>
    <col min="15640" max="15878" width="10.88671875" style="1215"/>
    <col min="15879" max="15879" width="8.88671875" style="1215" customWidth="1"/>
    <col min="15880" max="15880" width="50" style="1215" customWidth="1"/>
    <col min="15881" max="15881" width="6.44140625" style="1215" bestFit="1" customWidth="1"/>
    <col min="15882" max="15882" width="8.88671875" style="1215" customWidth="1"/>
    <col min="15883" max="15883" width="8.5546875" style="1215" customWidth="1"/>
    <col min="15884" max="15884" width="11.44140625" style="1215" bestFit="1" customWidth="1"/>
    <col min="15885" max="15885" width="7.88671875" style="1215" bestFit="1" customWidth="1"/>
    <col min="15886" max="15886" width="11.5546875" style="1215" bestFit="1" customWidth="1"/>
    <col min="15887" max="15887" width="8" style="1215" bestFit="1" customWidth="1"/>
    <col min="15888" max="15888" width="11.5546875" style="1215" bestFit="1" customWidth="1"/>
    <col min="15889" max="15889" width="8.109375" style="1215" bestFit="1" customWidth="1"/>
    <col min="15890" max="15890" width="11.5546875" style="1215" bestFit="1" customWidth="1"/>
    <col min="15891" max="15891" width="8.44140625" style="1215" customWidth="1"/>
    <col min="15892" max="15892" width="7.44140625" style="1215" bestFit="1" customWidth="1"/>
    <col min="15893" max="15893" width="11.5546875" style="1215" bestFit="1" customWidth="1"/>
    <col min="15894" max="15894" width="8.109375" style="1215" customWidth="1"/>
    <col min="15895" max="15895" width="13" style="1215" bestFit="1" customWidth="1"/>
    <col min="15896" max="16134" width="10.88671875" style="1215"/>
    <col min="16135" max="16135" width="8.88671875" style="1215" customWidth="1"/>
    <col min="16136" max="16136" width="50" style="1215" customWidth="1"/>
    <col min="16137" max="16137" width="6.44140625" style="1215" bestFit="1" customWidth="1"/>
    <col min="16138" max="16138" width="8.88671875" style="1215" customWidth="1"/>
    <col min="16139" max="16139" width="8.5546875" style="1215" customWidth="1"/>
    <col min="16140" max="16140" width="11.44140625" style="1215" bestFit="1" customWidth="1"/>
    <col min="16141" max="16141" width="7.88671875" style="1215" bestFit="1" customWidth="1"/>
    <col min="16142" max="16142" width="11.5546875" style="1215" bestFit="1" customWidth="1"/>
    <col min="16143" max="16143" width="8" style="1215" bestFit="1" customWidth="1"/>
    <col min="16144" max="16144" width="11.5546875" style="1215" bestFit="1" customWidth="1"/>
    <col min="16145" max="16145" width="8.109375" style="1215" bestFit="1" customWidth="1"/>
    <col min="16146" max="16146" width="11.5546875" style="1215" bestFit="1" customWidth="1"/>
    <col min="16147" max="16147" width="8.44140625" style="1215" customWidth="1"/>
    <col min="16148" max="16148" width="7.44140625" style="1215" bestFit="1" customWidth="1"/>
    <col min="16149" max="16149" width="11.5546875" style="1215" bestFit="1" customWidth="1"/>
    <col min="16150" max="16150" width="8.109375" style="1215" customWidth="1"/>
    <col min="16151" max="16151" width="13" style="1215" bestFit="1" customWidth="1"/>
    <col min="16152" max="16384" width="10.88671875" style="1215"/>
  </cols>
  <sheetData>
    <row r="1" spans="2:26">
      <c r="B1" s="2997" t="s">
        <v>12</v>
      </c>
      <c r="C1" s="2997"/>
      <c r="D1" s="2997"/>
      <c r="E1" s="2997"/>
      <c r="F1" s="2997"/>
      <c r="G1" s="2997"/>
      <c r="H1" s="2997"/>
      <c r="I1" s="2997"/>
      <c r="J1" s="2997"/>
      <c r="K1" s="2997"/>
      <c r="L1" s="3009"/>
      <c r="M1" s="3010"/>
      <c r="N1" s="2997"/>
      <c r="O1" s="2997"/>
      <c r="P1" s="2997"/>
      <c r="Q1" s="2997"/>
      <c r="R1" s="2997"/>
      <c r="S1" s="2997"/>
      <c r="T1" s="2235"/>
    </row>
    <row r="2" spans="2:26">
      <c r="B2" s="2997" t="s">
        <v>4349</v>
      </c>
      <c r="C2" s="2997"/>
      <c r="D2" s="2997"/>
      <c r="E2" s="2997"/>
      <c r="F2" s="2997"/>
      <c r="G2" s="2997"/>
      <c r="H2" s="2997"/>
      <c r="I2" s="2997"/>
      <c r="J2" s="2997"/>
      <c r="K2" s="2997"/>
      <c r="L2" s="3009"/>
      <c r="M2" s="3010"/>
      <c r="N2" s="2997"/>
      <c r="O2" s="2997"/>
      <c r="P2" s="2997"/>
      <c r="Q2" s="2997"/>
      <c r="R2" s="2997"/>
      <c r="S2" s="2997"/>
      <c r="T2" s="2235"/>
    </row>
    <row r="3" spans="2:26">
      <c r="B3" s="3030" t="s">
        <v>4382</v>
      </c>
      <c r="C3" s="3030"/>
      <c r="D3" s="3030"/>
      <c r="E3" s="3030"/>
      <c r="F3" s="3030"/>
      <c r="G3" s="3030"/>
      <c r="H3" s="3030"/>
      <c r="I3" s="3030"/>
      <c r="J3" s="3030"/>
      <c r="K3" s="3030"/>
      <c r="L3" s="3031"/>
      <c r="M3" s="3032"/>
      <c r="N3" s="3030"/>
      <c r="O3" s="3030"/>
      <c r="P3" s="3030"/>
      <c r="Q3" s="3030"/>
      <c r="R3" s="3030"/>
      <c r="S3" s="3030"/>
      <c r="T3" s="2237"/>
    </row>
    <row r="4" spans="2:26">
      <c r="B4" s="3033"/>
      <c r="C4" s="3033"/>
      <c r="D4" s="3033"/>
      <c r="E4" s="3033"/>
      <c r="F4" s="3033"/>
      <c r="G4" s="3033"/>
      <c r="H4" s="3033"/>
      <c r="I4" s="3033"/>
      <c r="J4" s="3033"/>
      <c r="K4" s="3033"/>
      <c r="L4" s="3034"/>
      <c r="M4" s="3035"/>
      <c r="N4" s="3033"/>
      <c r="O4" s="3033"/>
      <c r="P4" s="3033"/>
      <c r="Q4" s="3033"/>
      <c r="R4" s="3033"/>
      <c r="S4" s="3033"/>
      <c r="T4" s="2238"/>
    </row>
    <row r="5" spans="2:26">
      <c r="B5" s="1218"/>
      <c r="C5" s="1855" t="s">
        <v>6</v>
      </c>
      <c r="D5" s="1240" t="s">
        <v>4</v>
      </c>
      <c r="E5" s="1856" t="s">
        <v>2833</v>
      </c>
      <c r="F5" s="1857"/>
      <c r="G5" s="1857"/>
      <c r="H5" s="1857"/>
      <c r="I5" s="1857"/>
      <c r="J5" s="1857"/>
      <c r="K5" s="1857"/>
      <c r="L5" s="1857"/>
      <c r="M5" s="1857"/>
      <c r="N5" s="1857"/>
      <c r="O5" s="1857"/>
      <c r="X5" s="1215"/>
    </row>
    <row r="6" spans="2:26">
      <c r="B6" s="1610"/>
      <c r="C6" s="1220" t="s">
        <v>5</v>
      </c>
      <c r="D6" s="1221" t="s">
        <v>4</v>
      </c>
      <c r="E6" s="1222" t="s">
        <v>533</v>
      </c>
      <c r="F6" s="1610"/>
      <c r="G6" s="1610"/>
      <c r="H6" s="1610"/>
      <c r="I6" s="1610"/>
      <c r="J6" s="1610"/>
      <c r="L6" s="1350"/>
      <c r="P6" s="1238" t="s">
        <v>13</v>
      </c>
      <c r="Q6" s="1217"/>
      <c r="R6" s="2999">
        <f ca="1">TODAY()</f>
        <v>44559</v>
      </c>
      <c r="S6" s="2999"/>
      <c r="T6" s="2236"/>
    </row>
    <row r="7" spans="2:26">
      <c r="C7" s="1220" t="s">
        <v>15</v>
      </c>
      <c r="D7" s="1221" t="s">
        <v>4</v>
      </c>
      <c r="E7" s="1769" t="s">
        <v>3985</v>
      </c>
      <c r="F7" s="1349"/>
      <c r="G7" s="1349"/>
      <c r="H7" s="1349"/>
      <c r="I7" s="1349"/>
      <c r="L7" s="1349"/>
      <c r="P7" s="1610" t="s">
        <v>14</v>
      </c>
      <c r="R7" s="1610"/>
      <c r="S7" s="1239" t="s">
        <v>536</v>
      </c>
      <c r="T7" s="1239"/>
    </row>
    <row r="8" spans="2:26">
      <c r="C8" s="1220" t="s">
        <v>17</v>
      </c>
      <c r="D8" s="1221" t="s">
        <v>4</v>
      </c>
      <c r="E8" s="1222" t="s">
        <v>11</v>
      </c>
      <c r="F8" s="1218"/>
      <c r="G8" s="1218"/>
      <c r="H8" s="1218"/>
      <c r="I8" s="1218"/>
      <c r="L8" s="1349"/>
      <c r="M8" s="1221"/>
      <c r="N8" s="1237"/>
      <c r="P8" s="1610" t="s">
        <v>16</v>
      </c>
      <c r="S8" s="1239" t="s">
        <v>536</v>
      </c>
      <c r="T8" s="1239"/>
    </row>
    <row r="9" spans="2:26">
      <c r="C9" s="1220" t="s">
        <v>19</v>
      </c>
      <c r="D9" s="1221" t="s">
        <v>4</v>
      </c>
      <c r="E9" s="1224">
        <v>2021</v>
      </c>
      <c r="F9" s="1218"/>
      <c r="G9" s="1218"/>
      <c r="H9" s="1215"/>
      <c r="I9" s="1215"/>
      <c r="L9" s="1349"/>
      <c r="N9" s="1237"/>
      <c r="O9" s="1299"/>
      <c r="P9" s="1610" t="s">
        <v>18</v>
      </c>
      <c r="R9" s="1223"/>
      <c r="S9" s="1239" t="s">
        <v>10</v>
      </c>
      <c r="T9" s="1239"/>
    </row>
    <row r="10" spans="2:26" ht="13.8" thickBot="1">
      <c r="L10" s="1349"/>
    </row>
    <row r="11" spans="2:26" ht="13.8" thickBot="1">
      <c r="B11" s="2869" t="s">
        <v>20</v>
      </c>
      <c r="C11" s="2869" t="s">
        <v>21</v>
      </c>
      <c r="D11" s="2978" t="s">
        <v>22</v>
      </c>
      <c r="E11" s="2982" t="s">
        <v>23</v>
      </c>
      <c r="F11" s="2983"/>
      <c r="G11" s="2983"/>
      <c r="H11" s="2984"/>
      <c r="I11" s="1608"/>
      <c r="J11" s="2988" t="s">
        <v>24</v>
      </c>
      <c r="K11" s="2990"/>
      <c r="L11" s="3006"/>
      <c r="M11" s="3007"/>
      <c r="N11" s="2990"/>
      <c r="O11" s="2990"/>
      <c r="P11" s="2989"/>
      <c r="Q11" s="2982" t="s">
        <v>25</v>
      </c>
      <c r="R11" s="2983"/>
      <c r="S11" s="2984"/>
      <c r="T11" s="1358"/>
    </row>
    <row r="12" spans="2:26" ht="13.8" thickBot="1">
      <c r="B12" s="2870"/>
      <c r="C12" s="2870"/>
      <c r="D12" s="3000"/>
      <c r="E12" s="2985"/>
      <c r="F12" s="2986"/>
      <c r="G12" s="2986"/>
      <c r="H12" s="2987"/>
      <c r="I12" s="1609"/>
      <c r="J12" s="2988" t="s">
        <v>26</v>
      </c>
      <c r="K12" s="2989"/>
      <c r="L12" s="2988" t="s">
        <v>27</v>
      </c>
      <c r="M12" s="2989"/>
      <c r="N12" s="2988" t="s">
        <v>28</v>
      </c>
      <c r="O12" s="2990"/>
      <c r="P12" s="2989"/>
      <c r="Q12" s="2985"/>
      <c r="R12" s="2986"/>
      <c r="S12" s="2987"/>
      <c r="T12" s="1358"/>
    </row>
    <row r="13" spans="2:26" ht="13.8" thickBot="1">
      <c r="B13" s="2870"/>
      <c r="C13" s="2870"/>
      <c r="D13" s="3000"/>
      <c r="E13" s="2869" t="s">
        <v>29</v>
      </c>
      <c r="F13" s="2869" t="s">
        <v>30</v>
      </c>
      <c r="G13" s="2991" t="s">
        <v>3945</v>
      </c>
      <c r="H13" s="2869" t="s">
        <v>31</v>
      </c>
      <c r="I13" s="2993" t="s">
        <v>3943</v>
      </c>
      <c r="J13" s="2869" t="s">
        <v>3</v>
      </c>
      <c r="K13" s="2869" t="s">
        <v>32</v>
      </c>
      <c r="L13" s="2869" t="s">
        <v>3</v>
      </c>
      <c r="M13" s="2869" t="s">
        <v>32</v>
      </c>
      <c r="N13" s="2869" t="s">
        <v>3</v>
      </c>
      <c r="O13" s="2869" t="s">
        <v>32</v>
      </c>
      <c r="P13" s="2869" t="s">
        <v>0</v>
      </c>
      <c r="Q13" s="2869" t="s">
        <v>3</v>
      </c>
      <c r="R13" s="2995" t="s">
        <v>32</v>
      </c>
      <c r="S13" s="2869" t="s">
        <v>0</v>
      </c>
      <c r="T13" s="1358"/>
      <c r="X13" s="2972" t="s">
        <v>3624</v>
      </c>
      <c r="Y13" s="2973"/>
      <c r="Z13" s="2974"/>
    </row>
    <row r="14" spans="2:26" ht="13.8" thickBot="1">
      <c r="B14" s="2871"/>
      <c r="C14" s="2871"/>
      <c r="D14" s="2979"/>
      <c r="E14" s="2871"/>
      <c r="F14" s="2871"/>
      <c r="G14" s="2992"/>
      <c r="H14" s="2871"/>
      <c r="I14" s="2994"/>
      <c r="J14" s="2871"/>
      <c r="K14" s="2871"/>
      <c r="L14" s="2871"/>
      <c r="M14" s="2871"/>
      <c r="N14" s="2871"/>
      <c r="O14" s="2871"/>
      <c r="P14" s="2871"/>
      <c r="Q14" s="2871"/>
      <c r="R14" s="2996"/>
      <c r="S14" s="2871"/>
      <c r="T14" s="1358"/>
    </row>
    <row r="15" spans="2:26" s="1653" customFormat="1" ht="14.4" thickBot="1">
      <c r="B15" s="1858"/>
      <c r="C15" s="1859" t="s">
        <v>3986</v>
      </c>
      <c r="D15" s="1860"/>
      <c r="E15" s="1861"/>
      <c r="F15" s="1861"/>
      <c r="G15" s="1862"/>
      <c r="H15" s="1863"/>
      <c r="I15" s="1864"/>
      <c r="J15" s="1865"/>
      <c r="K15" s="1866"/>
      <c r="L15" s="1867"/>
      <c r="M15" s="1868"/>
      <c r="N15" s="1869"/>
      <c r="O15" s="1870"/>
      <c r="P15" s="1871"/>
      <c r="Q15" s="1869"/>
      <c r="R15" s="1872"/>
      <c r="S15" s="1871"/>
      <c r="T15" s="2261"/>
      <c r="U15" s="1650"/>
      <c r="V15" s="1650"/>
      <c r="W15" s="1650"/>
      <c r="X15" s="1651" t="s">
        <v>3625</v>
      </c>
      <c r="Y15" s="1429"/>
      <c r="Z15" s="1652">
        <f>SUM(M17:M190)</f>
        <v>199547.54394999996</v>
      </c>
    </row>
    <row r="16" spans="2:26" s="1429" customFormat="1" ht="13.8">
      <c r="B16" s="2307" t="s">
        <v>33</v>
      </c>
      <c r="C16" s="2308" t="s">
        <v>3626</v>
      </c>
      <c r="D16" s="1875"/>
      <c r="E16" s="1876"/>
      <c r="F16" s="1876"/>
      <c r="G16" s="1877"/>
      <c r="H16" s="1878"/>
      <c r="I16" s="1879"/>
      <c r="J16" s="1880"/>
      <c r="K16" s="1881"/>
      <c r="L16" s="1882"/>
      <c r="M16" s="1883"/>
      <c r="N16" s="1884"/>
      <c r="O16" s="1885"/>
      <c r="P16" s="1886" t="str">
        <f t="shared" ref="P16" si="0">+IF(D16=0,"",O16/H16)</f>
        <v/>
      </c>
      <c r="Q16" s="1884"/>
      <c r="R16" s="1885"/>
      <c r="S16" s="1886"/>
      <c r="T16" s="2262"/>
      <c r="U16" s="1652"/>
      <c r="V16" s="1652"/>
      <c r="W16" s="1652"/>
      <c r="X16" s="1651" t="s">
        <v>3626</v>
      </c>
      <c r="Z16" s="1665" t="e">
        <f>SUM(#REF!)</f>
        <v>#REF!</v>
      </c>
    </row>
    <row r="17" spans="1:28" s="1417" customFormat="1" ht="13.8">
      <c r="B17" s="2309" t="s">
        <v>35</v>
      </c>
      <c r="C17" s="2310" t="s">
        <v>2899</v>
      </c>
      <c r="D17" s="1889"/>
      <c r="E17" s="1747"/>
      <c r="F17" s="1747"/>
      <c r="G17" s="1890"/>
      <c r="H17" s="1891"/>
      <c r="I17" s="1892"/>
      <c r="J17" s="1893"/>
      <c r="K17" s="1894"/>
      <c r="L17" s="1895"/>
      <c r="M17" s="1896"/>
      <c r="N17" s="1897"/>
      <c r="O17" s="1898"/>
      <c r="P17" s="1899"/>
      <c r="Q17" s="1719"/>
      <c r="R17" s="1900"/>
      <c r="S17" s="1901"/>
      <c r="T17" s="2263"/>
      <c r="U17" s="1423">
        <f>+R17+O17</f>
        <v>0</v>
      </c>
      <c r="V17" s="1423">
        <f t="shared" ref="V17:V24" si="1">+H17</f>
        <v>0</v>
      </c>
      <c r="W17" s="1423">
        <f>+V17-U17</f>
        <v>0</v>
      </c>
      <c r="X17" s="1434" t="s">
        <v>1234</v>
      </c>
      <c r="Z17" s="1424" t="e">
        <f>SUM(#REF!)</f>
        <v>#REF!</v>
      </c>
    </row>
    <row r="18" spans="1:28" s="1416" customFormat="1" ht="13.8">
      <c r="B18" s="1902" t="s">
        <v>537</v>
      </c>
      <c r="C18" s="1903" t="s">
        <v>3987</v>
      </c>
      <c r="D18" s="1889" t="s">
        <v>40</v>
      </c>
      <c r="E18" s="1747">
        <v>1777.55</v>
      </c>
      <c r="F18" s="1747">
        <v>37.119999999999997</v>
      </c>
      <c r="G18" s="1890">
        <v>37.380000000000003</v>
      </c>
      <c r="H18" s="1891">
        <f t="shared" ref="H18:H81" si="2">+E18*F18</f>
        <v>65982.655999999988</v>
      </c>
      <c r="I18" s="1891">
        <f>ROUND(E18*G18,2)</f>
        <v>66444.820000000007</v>
      </c>
      <c r="J18" s="1893">
        <v>1777.55</v>
      </c>
      <c r="K18" s="1894">
        <v>66444.819000000003</v>
      </c>
      <c r="L18" s="1895"/>
      <c r="M18" s="1896">
        <f>L18*G18</f>
        <v>0</v>
      </c>
      <c r="N18" s="1897">
        <f>J18+L18</f>
        <v>1777.55</v>
      </c>
      <c r="O18" s="1898">
        <f>N18*G18</f>
        <v>66444.819000000003</v>
      </c>
      <c r="P18" s="1899">
        <f>+IF(D18=0,"",O18/I18)</f>
        <v>0.99999998494991782</v>
      </c>
      <c r="Q18" s="1719">
        <f t="shared" ref="Q18:Q81" si="3">E18-N18</f>
        <v>0</v>
      </c>
      <c r="R18" s="1900">
        <f>ROUND((Q18*G18),2)</f>
        <v>0</v>
      </c>
      <c r="S18" s="1901">
        <f>+IF(I18=0,"",R18/I18)</f>
        <v>0</v>
      </c>
      <c r="T18" s="1895">
        <v>90.96</v>
      </c>
      <c r="U18" s="1423">
        <f t="shared" ref="U18:U24" si="4">+R18+O18</f>
        <v>66444.819000000003</v>
      </c>
      <c r="V18" s="1423">
        <f t="shared" si="1"/>
        <v>65982.655999999988</v>
      </c>
      <c r="W18" s="1423">
        <f t="shared" ref="W18:W24" si="5">+V18-U18</f>
        <v>-462.16300000001502</v>
      </c>
      <c r="X18" s="1434" t="s">
        <v>3627</v>
      </c>
      <c r="Y18" s="1417"/>
      <c r="Z18" s="1424" t="e">
        <f>SUM(#REF!)</f>
        <v>#REF!</v>
      </c>
    </row>
    <row r="19" spans="1:28" s="1416" customFormat="1" ht="13.8">
      <c r="A19" s="1429"/>
      <c r="B19" s="2309" t="s">
        <v>39</v>
      </c>
      <c r="C19" s="2310" t="s">
        <v>2935</v>
      </c>
      <c r="D19" s="1889"/>
      <c r="E19" s="1747"/>
      <c r="F19" s="1747"/>
      <c r="G19" s="1890"/>
      <c r="H19" s="1891"/>
      <c r="I19" s="1891"/>
      <c r="J19" s="1893"/>
      <c r="K19" s="1894"/>
      <c r="L19" s="1895"/>
      <c r="M19" s="1896"/>
      <c r="N19" s="1897"/>
      <c r="O19" s="1898"/>
      <c r="P19" s="1899"/>
      <c r="Q19" s="1719"/>
      <c r="R19" s="1900"/>
      <c r="S19" s="1901" t="str">
        <f t="shared" ref="S19:S76" si="6">+IF(H19=0,"",R19/H19)</f>
        <v/>
      </c>
      <c r="T19" s="1895"/>
      <c r="U19" s="1423">
        <f t="shared" si="4"/>
        <v>0</v>
      </c>
      <c r="V19" s="1423">
        <f t="shared" si="1"/>
        <v>0</v>
      </c>
      <c r="W19" s="1423">
        <f t="shared" si="5"/>
        <v>0</v>
      </c>
      <c r="X19" s="1434" t="s">
        <v>3628</v>
      </c>
      <c r="Y19" s="1417"/>
      <c r="Z19" s="1424" t="e">
        <f>SUM(#REF!)</f>
        <v>#REF!</v>
      </c>
    </row>
    <row r="20" spans="1:28" s="1417" customFormat="1" ht="13.8">
      <c r="B20" s="2305" t="s">
        <v>542</v>
      </c>
      <c r="C20" s="2306" t="s">
        <v>2936</v>
      </c>
      <c r="D20" s="1889"/>
      <c r="E20" s="1747"/>
      <c r="F20" s="1747"/>
      <c r="G20" s="1890"/>
      <c r="H20" s="1891"/>
      <c r="I20" s="1891"/>
      <c r="J20" s="1893"/>
      <c r="K20" s="1894"/>
      <c r="L20" s="1895"/>
      <c r="M20" s="1896"/>
      <c r="N20" s="1897"/>
      <c r="O20" s="1898"/>
      <c r="P20" s="1899"/>
      <c r="Q20" s="1719"/>
      <c r="R20" s="1900"/>
      <c r="S20" s="1901" t="str">
        <f t="shared" si="6"/>
        <v/>
      </c>
      <c r="T20" s="1895"/>
      <c r="U20" s="1423">
        <f t="shared" si="4"/>
        <v>0</v>
      </c>
      <c r="V20" s="1423">
        <f t="shared" si="1"/>
        <v>0</v>
      </c>
      <c r="W20" s="1423">
        <f t="shared" si="5"/>
        <v>0</v>
      </c>
      <c r="X20" s="1434" t="s">
        <v>3629</v>
      </c>
      <c r="Z20" s="1424" t="e">
        <f>SUM(#REF!)</f>
        <v>#REF!</v>
      </c>
    </row>
    <row r="21" spans="1:28" s="1416" customFormat="1" ht="13.8">
      <c r="B21" s="1902" t="s">
        <v>3747</v>
      </c>
      <c r="C21" s="1903" t="s">
        <v>3988</v>
      </c>
      <c r="D21" s="1889" t="s">
        <v>37</v>
      </c>
      <c r="E21" s="1747">
        <v>398.34</v>
      </c>
      <c r="F21" s="1747">
        <v>74.19</v>
      </c>
      <c r="G21" s="1890">
        <v>76.349999999999994</v>
      </c>
      <c r="H21" s="1891">
        <f t="shared" si="2"/>
        <v>29552.844599999997</v>
      </c>
      <c r="I21" s="1891">
        <f t="shared" ref="I21:I84" si="7">ROUND(E21*G21,2)</f>
        <v>30413.26</v>
      </c>
      <c r="J21" s="1893">
        <v>398.34000000000003</v>
      </c>
      <c r="K21" s="1894">
        <v>30413.259000000002</v>
      </c>
      <c r="L21" s="1895"/>
      <c r="M21" s="1896">
        <f>L21*G21</f>
        <v>0</v>
      </c>
      <c r="N21" s="1897">
        <f t="shared" ref="N21:N84" si="8">J21+L21</f>
        <v>398.34000000000003</v>
      </c>
      <c r="O21" s="1898">
        <f>N21*G21</f>
        <v>30413.259000000002</v>
      </c>
      <c r="P21" s="1899">
        <f>+IF(D21=0,"",O21/I21)</f>
        <v>0.99999996711960515</v>
      </c>
      <c r="Q21" s="1719">
        <f t="shared" si="3"/>
        <v>0</v>
      </c>
      <c r="R21" s="1900">
        <f>ROUND((Q21*G21),2)</f>
        <v>0</v>
      </c>
      <c r="S21" s="1901">
        <f>+IF(I21=0,"",R21/I21)</f>
        <v>0</v>
      </c>
      <c r="T21" s="1895">
        <v>80.67</v>
      </c>
      <c r="U21" s="1423">
        <f t="shared" si="4"/>
        <v>30413.259000000002</v>
      </c>
      <c r="V21" s="1423">
        <f t="shared" si="1"/>
        <v>29552.844599999997</v>
      </c>
      <c r="W21" s="1423">
        <f t="shared" si="5"/>
        <v>-860.41440000000512</v>
      </c>
      <c r="X21" s="1435"/>
    </row>
    <row r="22" spans="1:28" s="1417" customFormat="1" ht="13.8">
      <c r="A22" s="1429"/>
      <c r="B22" s="2305" t="s">
        <v>543</v>
      </c>
      <c r="C22" s="2306" t="s">
        <v>3989</v>
      </c>
      <c r="D22" s="1889"/>
      <c r="E22" s="1747"/>
      <c r="F22" s="1747"/>
      <c r="G22" s="1890"/>
      <c r="H22" s="1891"/>
      <c r="I22" s="1891"/>
      <c r="J22" s="1893"/>
      <c r="K22" s="1894"/>
      <c r="L22" s="1895"/>
      <c r="M22" s="1896"/>
      <c r="N22" s="1897"/>
      <c r="O22" s="1898"/>
      <c r="P22" s="1899"/>
      <c r="Q22" s="1719"/>
      <c r="R22" s="1900"/>
      <c r="S22" s="1901" t="str">
        <f t="shared" si="6"/>
        <v/>
      </c>
      <c r="T22" s="2263"/>
      <c r="U22" s="1423">
        <f t="shared" si="4"/>
        <v>0</v>
      </c>
      <c r="V22" s="1423">
        <f t="shared" si="1"/>
        <v>0</v>
      </c>
      <c r="W22" s="1423">
        <f t="shared" si="5"/>
        <v>0</v>
      </c>
      <c r="X22" s="1434"/>
      <c r="Y22" s="1416" t="s">
        <v>2</v>
      </c>
      <c r="Z22" s="1422" t="e">
        <f>SUM(Z15:Z21)</f>
        <v>#REF!</v>
      </c>
      <c r="AA22" s="1423">
        <f>+M191</f>
        <v>199547.54394999996</v>
      </c>
      <c r="AB22" s="1423" t="e">
        <f>+Z22-AA22</f>
        <v>#REF!</v>
      </c>
    </row>
    <row r="23" spans="1:28" s="1417" customFormat="1" ht="13.8">
      <c r="B23" s="1902" t="s">
        <v>3749</v>
      </c>
      <c r="C23" s="1903" t="s">
        <v>3990</v>
      </c>
      <c r="D23" s="1889" t="s">
        <v>40</v>
      </c>
      <c r="E23" s="1747">
        <v>2.85</v>
      </c>
      <c r="F23" s="1747">
        <v>441.91</v>
      </c>
      <c r="G23" s="1890">
        <v>448.91</v>
      </c>
      <c r="H23" s="1891">
        <f t="shared" si="2"/>
        <v>1259.4435000000001</v>
      </c>
      <c r="I23" s="1891">
        <f t="shared" si="7"/>
        <v>1279.3900000000001</v>
      </c>
      <c r="J23" s="1893">
        <v>0</v>
      </c>
      <c r="K23" s="1894">
        <v>0</v>
      </c>
      <c r="L23" s="1895">
        <f>+'[42] METRADOS P.NUEVAS'!$J$70</f>
        <v>2.25</v>
      </c>
      <c r="M23" s="1896">
        <f t="shared" ref="M23:M25" si="9">L23*G23</f>
        <v>1010.0475</v>
      </c>
      <c r="N23" s="1897">
        <f t="shared" si="8"/>
        <v>2.25</v>
      </c>
      <c r="O23" s="1898">
        <f t="shared" ref="O23:O25" si="10">N23*G23</f>
        <v>1010.0475</v>
      </c>
      <c r="P23" s="1899">
        <f t="shared" ref="P23:P25" si="11">+IF(D23=0,"",O23/I23)</f>
        <v>0.78947584395688564</v>
      </c>
      <c r="Q23" s="1719">
        <f t="shared" si="3"/>
        <v>0.60000000000000009</v>
      </c>
      <c r="R23" s="1900">
        <f t="shared" ref="R23:R25" si="12">ROUND((Q23*G23),2)</f>
        <v>269.35000000000002</v>
      </c>
      <c r="S23" s="1901">
        <f t="shared" ref="S23:S25" si="13">+IF(I23=0,"",R23/I23)</f>
        <v>0.21053001821180406</v>
      </c>
      <c r="T23" s="2263"/>
      <c r="U23" s="1423">
        <f t="shared" si="4"/>
        <v>1279.3975</v>
      </c>
      <c r="V23" s="1423">
        <f t="shared" si="1"/>
        <v>1259.4435000000001</v>
      </c>
      <c r="W23" s="1423">
        <f t="shared" si="5"/>
        <v>-19.953999999999951</v>
      </c>
      <c r="X23" s="1434"/>
    </row>
    <row r="24" spans="1:28" s="1417" customFormat="1" ht="13.8">
      <c r="A24" s="1429"/>
      <c r="B24" s="1902" t="s">
        <v>3751</v>
      </c>
      <c r="C24" s="1903" t="s">
        <v>3991</v>
      </c>
      <c r="D24" s="1889" t="s">
        <v>37</v>
      </c>
      <c r="E24" s="1747">
        <v>39.450000000000003</v>
      </c>
      <c r="F24" s="1747">
        <v>69.56</v>
      </c>
      <c r="G24" s="1890">
        <v>71.28</v>
      </c>
      <c r="H24" s="1891">
        <f t="shared" si="2"/>
        <v>2744.1420000000003</v>
      </c>
      <c r="I24" s="1891">
        <f t="shared" si="7"/>
        <v>2812</v>
      </c>
      <c r="J24" s="1893">
        <v>0</v>
      </c>
      <c r="K24" s="1894">
        <v>0</v>
      </c>
      <c r="L24" s="1895">
        <f>+'[42] METRADOS P.NUEVAS'!$J$75</f>
        <v>39</v>
      </c>
      <c r="M24" s="1896">
        <f t="shared" si="9"/>
        <v>2779.92</v>
      </c>
      <c r="N24" s="1897">
        <f t="shared" si="8"/>
        <v>39</v>
      </c>
      <c r="O24" s="1898">
        <f t="shared" si="10"/>
        <v>2779.92</v>
      </c>
      <c r="P24" s="1899">
        <f t="shared" si="11"/>
        <v>0.98859174964438123</v>
      </c>
      <c r="Q24" s="1719">
        <f t="shared" si="3"/>
        <v>0.45000000000000284</v>
      </c>
      <c r="R24" s="1900">
        <f t="shared" si="12"/>
        <v>32.08</v>
      </c>
      <c r="S24" s="1901">
        <f t="shared" si="13"/>
        <v>1.1408250355618776E-2</v>
      </c>
      <c r="T24" s="2263"/>
      <c r="U24" s="1423">
        <f t="shared" si="4"/>
        <v>2812</v>
      </c>
      <c r="V24" s="1423">
        <f t="shared" si="1"/>
        <v>2744.1420000000003</v>
      </c>
      <c r="W24" s="1423">
        <f t="shared" si="5"/>
        <v>-67.85799999999972</v>
      </c>
      <c r="X24" s="1434"/>
    </row>
    <row r="25" spans="1:28" s="1417" customFormat="1" ht="13.8">
      <c r="A25" s="1429"/>
      <c r="B25" s="1902" t="s">
        <v>3992</v>
      </c>
      <c r="C25" s="1903" t="s">
        <v>3993</v>
      </c>
      <c r="D25" s="1889" t="s">
        <v>48</v>
      </c>
      <c r="E25" s="1747">
        <v>918.39</v>
      </c>
      <c r="F25" s="1747">
        <v>5.05</v>
      </c>
      <c r="G25" s="1890">
        <v>5.1100000000000003</v>
      </c>
      <c r="H25" s="1891">
        <f t="shared" si="2"/>
        <v>4637.8694999999998</v>
      </c>
      <c r="I25" s="1891">
        <f t="shared" si="7"/>
        <v>4692.97</v>
      </c>
      <c r="J25" s="1893">
        <v>0</v>
      </c>
      <c r="K25" s="1894">
        <v>0</v>
      </c>
      <c r="L25" s="1895">
        <f>+'[42] METRADOS P.NUEVAS'!$J$79</f>
        <v>206.26999999999998</v>
      </c>
      <c r="M25" s="1896">
        <f t="shared" si="9"/>
        <v>1054.0397</v>
      </c>
      <c r="N25" s="1897">
        <f t="shared" si="8"/>
        <v>206.26999999999998</v>
      </c>
      <c r="O25" s="1898">
        <f t="shared" si="10"/>
        <v>1054.0397</v>
      </c>
      <c r="P25" s="1899">
        <f t="shared" si="11"/>
        <v>0.22459970977866894</v>
      </c>
      <c r="Q25" s="1719">
        <f t="shared" si="3"/>
        <v>712.12</v>
      </c>
      <c r="R25" s="1900">
        <f t="shared" si="12"/>
        <v>3638.93</v>
      </c>
      <c r="S25" s="1901">
        <f t="shared" si="13"/>
        <v>0.77540022629592764</v>
      </c>
      <c r="T25" s="2263"/>
      <c r="U25" s="1423"/>
      <c r="V25" s="1423"/>
      <c r="W25" s="1423"/>
      <c r="X25" s="1434"/>
    </row>
    <row r="26" spans="1:28" s="1417" customFormat="1" ht="13.8">
      <c r="B26" s="2309" t="s">
        <v>545</v>
      </c>
      <c r="C26" s="2310" t="s">
        <v>3994</v>
      </c>
      <c r="D26" s="1889"/>
      <c r="E26" s="1747"/>
      <c r="F26" s="1747"/>
      <c r="G26" s="1890"/>
      <c r="H26" s="1891"/>
      <c r="I26" s="1891"/>
      <c r="J26" s="1893"/>
      <c r="K26" s="1894"/>
      <c r="L26" s="1895"/>
      <c r="M26" s="1896"/>
      <c r="N26" s="1897"/>
      <c r="O26" s="1898"/>
      <c r="P26" s="1899"/>
      <c r="Q26" s="1719"/>
      <c r="R26" s="1900"/>
      <c r="S26" s="1901" t="str">
        <f t="shared" si="6"/>
        <v/>
      </c>
      <c r="T26" s="2263"/>
      <c r="U26" s="1423"/>
      <c r="V26" s="1423"/>
      <c r="W26" s="1423"/>
      <c r="X26" s="1434"/>
    </row>
    <row r="27" spans="1:28" s="1417" customFormat="1" ht="13.8">
      <c r="A27" s="1416"/>
      <c r="B27" s="1902" t="s">
        <v>546</v>
      </c>
      <c r="C27" s="1903" t="s">
        <v>3995</v>
      </c>
      <c r="D27" s="1889" t="s">
        <v>40</v>
      </c>
      <c r="E27" s="1747">
        <v>63.8</v>
      </c>
      <c r="F27" s="1747">
        <v>435.75</v>
      </c>
      <c r="G27" s="1890">
        <v>436.26</v>
      </c>
      <c r="H27" s="1891">
        <f t="shared" si="2"/>
        <v>27800.85</v>
      </c>
      <c r="I27" s="1891">
        <f t="shared" si="7"/>
        <v>27833.39</v>
      </c>
      <c r="J27" s="1893">
        <v>63.8</v>
      </c>
      <c r="K27" s="1894">
        <v>27833.387999999999</v>
      </c>
      <c r="L27" s="1895"/>
      <c r="M27" s="1896">
        <f t="shared" ref="M27:M32" si="14">L27*G27</f>
        <v>0</v>
      </c>
      <c r="N27" s="1897">
        <f t="shared" si="8"/>
        <v>63.8</v>
      </c>
      <c r="O27" s="1898">
        <f t="shared" ref="O27:O32" si="15">N27*G27</f>
        <v>27833.387999999999</v>
      </c>
      <c r="P27" s="1899">
        <f t="shared" ref="P27:P32" si="16">+IF(D27=0,"",O27/I27)</f>
        <v>0.99999992814385885</v>
      </c>
      <c r="Q27" s="1719">
        <f t="shared" si="3"/>
        <v>0</v>
      </c>
      <c r="R27" s="1900">
        <f t="shared" ref="R27:R32" si="17">ROUND((Q27*G27),2)</f>
        <v>0</v>
      </c>
      <c r="S27" s="1901">
        <f t="shared" ref="S27:S32" si="18">+IF(I27=0,"",R27/I27)</f>
        <v>0</v>
      </c>
      <c r="T27" s="2263"/>
      <c r="U27" s="1423"/>
      <c r="V27" s="1423"/>
      <c r="W27" s="1423"/>
      <c r="X27" s="1434"/>
    </row>
    <row r="28" spans="1:28" s="1417" customFormat="1" ht="13.8">
      <c r="A28" s="1429"/>
      <c r="B28" s="1902" t="s">
        <v>547</v>
      </c>
      <c r="C28" s="1903" t="s">
        <v>3996</v>
      </c>
      <c r="D28" s="1889" t="s">
        <v>37</v>
      </c>
      <c r="E28" s="1747">
        <v>52.36</v>
      </c>
      <c r="F28" s="1747">
        <v>61.62</v>
      </c>
      <c r="G28" s="1890">
        <v>63.05</v>
      </c>
      <c r="H28" s="1891">
        <f t="shared" si="2"/>
        <v>3226.4231999999997</v>
      </c>
      <c r="I28" s="1891">
        <f t="shared" si="7"/>
        <v>3301.3</v>
      </c>
      <c r="J28" s="1893">
        <v>4.7</v>
      </c>
      <c r="K28" s="1894">
        <v>296.33499999999998</v>
      </c>
      <c r="L28" s="1895"/>
      <c r="M28" s="1896">
        <f t="shared" si="14"/>
        <v>0</v>
      </c>
      <c r="N28" s="1897">
        <f t="shared" si="8"/>
        <v>4.7</v>
      </c>
      <c r="O28" s="1898">
        <f t="shared" si="15"/>
        <v>296.33499999999998</v>
      </c>
      <c r="P28" s="1899">
        <f t="shared" si="16"/>
        <v>8.9763123617968663E-2</v>
      </c>
      <c r="Q28" s="1719">
        <f t="shared" si="3"/>
        <v>47.66</v>
      </c>
      <c r="R28" s="1900">
        <f t="shared" si="17"/>
        <v>3004.96</v>
      </c>
      <c r="S28" s="1901">
        <f t="shared" si="18"/>
        <v>0.91023536182715892</v>
      </c>
      <c r="T28" s="2263"/>
      <c r="U28" s="1423"/>
      <c r="V28" s="1423"/>
      <c r="W28" s="1423"/>
      <c r="X28" s="1434"/>
    </row>
    <row r="29" spans="1:28" s="1417" customFormat="1" ht="13.8">
      <c r="B29" s="1902" t="s">
        <v>2250</v>
      </c>
      <c r="C29" s="1903" t="s">
        <v>3997</v>
      </c>
      <c r="D29" s="1889" t="s">
        <v>36</v>
      </c>
      <c r="E29" s="1747">
        <v>384</v>
      </c>
      <c r="F29" s="1747">
        <v>24.52</v>
      </c>
      <c r="G29" s="1890">
        <v>24.73</v>
      </c>
      <c r="H29" s="1891">
        <f t="shared" si="2"/>
        <v>9415.68</v>
      </c>
      <c r="I29" s="1891">
        <f t="shared" si="7"/>
        <v>9496.32</v>
      </c>
      <c r="J29" s="1893">
        <v>78</v>
      </c>
      <c r="K29" s="1894">
        <v>1928.94</v>
      </c>
      <c r="L29" s="1895"/>
      <c r="M29" s="1896">
        <f t="shared" si="14"/>
        <v>0</v>
      </c>
      <c r="N29" s="1897">
        <f t="shared" si="8"/>
        <v>78</v>
      </c>
      <c r="O29" s="1898">
        <f t="shared" si="15"/>
        <v>1928.94</v>
      </c>
      <c r="P29" s="1899">
        <f t="shared" si="16"/>
        <v>0.203125</v>
      </c>
      <c r="Q29" s="1719">
        <f t="shared" si="3"/>
        <v>306</v>
      </c>
      <c r="R29" s="1900">
        <f t="shared" si="17"/>
        <v>7567.38</v>
      </c>
      <c r="S29" s="1901">
        <f t="shared" si="18"/>
        <v>0.796875</v>
      </c>
      <c r="T29" s="2263"/>
      <c r="U29" s="1423"/>
      <c r="V29" s="1423"/>
      <c r="W29" s="1423"/>
      <c r="X29" s="1434"/>
    </row>
    <row r="30" spans="1:28" s="1417" customFormat="1" ht="13.8">
      <c r="A30" s="1416"/>
      <c r="B30" s="1902" t="s">
        <v>2251</v>
      </c>
      <c r="C30" s="1903" t="s">
        <v>3998</v>
      </c>
      <c r="D30" s="1889" t="s">
        <v>3899</v>
      </c>
      <c r="E30" s="1747">
        <v>262</v>
      </c>
      <c r="F30" s="1747">
        <v>8.6199999999999992</v>
      </c>
      <c r="G30" s="1890">
        <v>8.94</v>
      </c>
      <c r="H30" s="1891">
        <f t="shared" si="2"/>
        <v>2258.4399999999996</v>
      </c>
      <c r="I30" s="1891">
        <f t="shared" si="7"/>
        <v>2342.2800000000002</v>
      </c>
      <c r="J30" s="1893">
        <v>17.5</v>
      </c>
      <c r="K30" s="1894">
        <v>156.44999999999999</v>
      </c>
      <c r="L30" s="1895"/>
      <c r="M30" s="1896">
        <f t="shared" si="14"/>
        <v>0</v>
      </c>
      <c r="N30" s="1897">
        <f t="shared" si="8"/>
        <v>17.5</v>
      </c>
      <c r="O30" s="1898">
        <f t="shared" si="15"/>
        <v>156.44999999999999</v>
      </c>
      <c r="P30" s="1899">
        <f t="shared" si="16"/>
        <v>6.6793893129770979E-2</v>
      </c>
      <c r="Q30" s="1719">
        <f t="shared" si="3"/>
        <v>244.5</v>
      </c>
      <c r="R30" s="1900">
        <f t="shared" si="17"/>
        <v>2185.83</v>
      </c>
      <c r="S30" s="1901">
        <f t="shared" si="18"/>
        <v>0.93320610687022887</v>
      </c>
      <c r="T30" s="2263"/>
      <c r="U30" s="1423"/>
      <c r="V30" s="1423"/>
      <c r="W30" s="1423"/>
      <c r="X30" s="1434"/>
    </row>
    <row r="31" spans="1:28" s="1417" customFormat="1" ht="13.8">
      <c r="A31" s="1429"/>
      <c r="B31" s="1902" t="s">
        <v>3768</v>
      </c>
      <c r="C31" s="1903" t="s">
        <v>3999</v>
      </c>
      <c r="D31" s="1889" t="s">
        <v>2828</v>
      </c>
      <c r="E31" s="1747">
        <v>1</v>
      </c>
      <c r="F31" s="1747">
        <v>998.14</v>
      </c>
      <c r="G31" s="1890">
        <v>1003.91</v>
      </c>
      <c r="H31" s="1891">
        <f t="shared" si="2"/>
        <v>998.14</v>
      </c>
      <c r="I31" s="1891">
        <f t="shared" si="7"/>
        <v>1003.91</v>
      </c>
      <c r="J31" s="1893">
        <v>0.5</v>
      </c>
      <c r="K31" s="1894">
        <v>501.95499999999998</v>
      </c>
      <c r="L31" s="1895"/>
      <c r="M31" s="1896">
        <f t="shared" si="14"/>
        <v>0</v>
      </c>
      <c r="N31" s="1897">
        <f t="shared" si="8"/>
        <v>0.5</v>
      </c>
      <c r="O31" s="1898">
        <f t="shared" si="15"/>
        <v>501.95499999999998</v>
      </c>
      <c r="P31" s="1899">
        <f t="shared" si="16"/>
        <v>0.5</v>
      </c>
      <c r="Q31" s="1719">
        <f t="shared" si="3"/>
        <v>0.5</v>
      </c>
      <c r="R31" s="1900">
        <f t="shared" si="17"/>
        <v>501.96</v>
      </c>
      <c r="S31" s="1901">
        <f t="shared" si="18"/>
        <v>0.50000498052614273</v>
      </c>
      <c r="T31" s="2263"/>
      <c r="U31" s="1423"/>
      <c r="V31" s="1423"/>
      <c r="W31" s="1423"/>
      <c r="X31" s="1434"/>
    </row>
    <row r="32" spans="1:28" s="1417" customFormat="1" ht="13.8">
      <c r="B32" s="1902" t="s">
        <v>3773</v>
      </c>
      <c r="C32" s="1903" t="s">
        <v>4000</v>
      </c>
      <c r="D32" s="1889" t="s">
        <v>3899</v>
      </c>
      <c r="E32" s="1747">
        <v>261.77999999999997</v>
      </c>
      <c r="F32" s="1747">
        <v>10.130000000000001</v>
      </c>
      <c r="G32" s="1890">
        <v>10.4</v>
      </c>
      <c r="H32" s="1891">
        <f t="shared" si="2"/>
        <v>2651.8314</v>
      </c>
      <c r="I32" s="1891">
        <f t="shared" si="7"/>
        <v>2722.51</v>
      </c>
      <c r="J32" s="1893">
        <v>0</v>
      </c>
      <c r="K32" s="1894">
        <v>0</v>
      </c>
      <c r="L32" s="1895"/>
      <c r="M32" s="1896">
        <f t="shared" si="14"/>
        <v>0</v>
      </c>
      <c r="N32" s="1897">
        <f t="shared" si="8"/>
        <v>0</v>
      </c>
      <c r="O32" s="1898">
        <f t="shared" si="15"/>
        <v>0</v>
      </c>
      <c r="P32" s="1899">
        <f t="shared" si="16"/>
        <v>0</v>
      </c>
      <c r="Q32" s="1719">
        <f t="shared" si="3"/>
        <v>261.77999999999997</v>
      </c>
      <c r="R32" s="1900">
        <f t="shared" si="17"/>
        <v>2722.51</v>
      </c>
      <c r="S32" s="1901">
        <f t="shared" si="18"/>
        <v>1</v>
      </c>
      <c r="T32" s="2263"/>
      <c r="U32" s="1423"/>
      <c r="V32" s="1423"/>
      <c r="W32" s="1423"/>
      <c r="X32" s="1434"/>
    </row>
    <row r="33" spans="1:24" s="1417" customFormat="1" ht="13.8">
      <c r="A33" s="1429"/>
      <c r="B33" s="2309" t="s">
        <v>548</v>
      </c>
      <c r="C33" s="2310" t="s">
        <v>3025</v>
      </c>
      <c r="D33" s="1889"/>
      <c r="E33" s="1747"/>
      <c r="F33" s="1747"/>
      <c r="G33" s="1890"/>
      <c r="H33" s="1891"/>
      <c r="I33" s="1891"/>
      <c r="J33" s="1893"/>
      <c r="K33" s="1894"/>
      <c r="L33" s="1895"/>
      <c r="M33" s="1896"/>
      <c r="N33" s="1897"/>
      <c r="O33" s="1898"/>
      <c r="P33" s="1899"/>
      <c r="Q33" s="1719"/>
      <c r="R33" s="1900"/>
      <c r="S33" s="1901" t="str">
        <f t="shared" si="6"/>
        <v/>
      </c>
      <c r="T33" s="2263"/>
      <c r="U33" s="1423"/>
      <c r="V33" s="1423"/>
      <c r="W33" s="1423"/>
      <c r="X33" s="1434"/>
    </row>
    <row r="34" spans="1:24" s="1417" customFormat="1" ht="13.8">
      <c r="A34" s="1429"/>
      <c r="B34" s="2305" t="s">
        <v>549</v>
      </c>
      <c r="C34" s="2306" t="s">
        <v>4001</v>
      </c>
      <c r="D34" s="1889"/>
      <c r="E34" s="1747"/>
      <c r="F34" s="1747"/>
      <c r="G34" s="1890"/>
      <c r="H34" s="1891"/>
      <c r="I34" s="1891"/>
      <c r="J34" s="1893"/>
      <c r="K34" s="1894"/>
      <c r="L34" s="1895"/>
      <c r="M34" s="1896"/>
      <c r="N34" s="1897"/>
      <c r="O34" s="1898"/>
      <c r="P34" s="1899"/>
      <c r="Q34" s="1719"/>
      <c r="R34" s="1900"/>
      <c r="S34" s="1901" t="str">
        <f t="shared" si="6"/>
        <v/>
      </c>
      <c r="T34" s="2263"/>
      <c r="U34" s="1423"/>
      <c r="V34" s="1423"/>
      <c r="W34" s="1423"/>
      <c r="X34" s="1434"/>
    </row>
    <row r="35" spans="1:24" s="1417" customFormat="1" ht="13.8">
      <c r="B35" s="1902" t="s">
        <v>4002</v>
      </c>
      <c r="C35" s="1903" t="s">
        <v>4003</v>
      </c>
      <c r="D35" s="1889" t="s">
        <v>36</v>
      </c>
      <c r="E35" s="1747">
        <v>19</v>
      </c>
      <c r="F35" s="1747">
        <v>172.18</v>
      </c>
      <c r="G35" s="1890">
        <v>177.29</v>
      </c>
      <c r="H35" s="1891">
        <f t="shared" si="2"/>
        <v>3271.42</v>
      </c>
      <c r="I35" s="1891">
        <f t="shared" si="7"/>
        <v>3368.51</v>
      </c>
      <c r="J35" s="1893">
        <v>0</v>
      </c>
      <c r="K35" s="1894">
        <v>0</v>
      </c>
      <c r="L35" s="1895"/>
      <c r="M35" s="1896">
        <f t="shared" ref="M35:M47" si="19">L35*G35</f>
        <v>0</v>
      </c>
      <c r="N35" s="1897">
        <f t="shared" si="8"/>
        <v>0</v>
      </c>
      <c r="O35" s="1898">
        <f t="shared" ref="O35:O47" si="20">N35*G35</f>
        <v>0</v>
      </c>
      <c r="P35" s="1899">
        <f t="shared" ref="P35:P47" si="21">+IF(D35=0,"",O35/I35)</f>
        <v>0</v>
      </c>
      <c r="Q35" s="1719">
        <f t="shared" si="3"/>
        <v>19</v>
      </c>
      <c r="R35" s="1900">
        <f t="shared" ref="R35:R47" si="22">ROUND((Q35*G35),2)</f>
        <v>3368.51</v>
      </c>
      <c r="S35" s="1901">
        <f t="shared" ref="S35:S47" si="23">+IF(I35=0,"",R35/I35)</f>
        <v>1</v>
      </c>
      <c r="T35" s="2263"/>
      <c r="U35" s="1423"/>
      <c r="V35" s="1423"/>
      <c r="W35" s="1423"/>
      <c r="X35" s="1434"/>
    </row>
    <row r="36" spans="1:24" s="1417" customFormat="1" ht="13.8">
      <c r="A36" s="1416"/>
      <c r="B36" s="1902" t="s">
        <v>4004</v>
      </c>
      <c r="C36" s="1903" t="s">
        <v>4005</v>
      </c>
      <c r="D36" s="1889" t="s">
        <v>36</v>
      </c>
      <c r="E36" s="1747">
        <v>19</v>
      </c>
      <c r="F36" s="1747">
        <v>1172.99</v>
      </c>
      <c r="G36" s="1890">
        <v>1178.0999999999999</v>
      </c>
      <c r="H36" s="1891">
        <f t="shared" si="2"/>
        <v>22286.81</v>
      </c>
      <c r="I36" s="1891">
        <f t="shared" si="7"/>
        <v>22383.9</v>
      </c>
      <c r="J36" s="1893">
        <v>0</v>
      </c>
      <c r="K36" s="1894">
        <v>0</v>
      </c>
      <c r="L36" s="1895"/>
      <c r="M36" s="1896">
        <f t="shared" si="19"/>
        <v>0</v>
      </c>
      <c r="N36" s="1897">
        <f t="shared" si="8"/>
        <v>0</v>
      </c>
      <c r="O36" s="1898">
        <f t="shared" si="20"/>
        <v>0</v>
      </c>
      <c r="P36" s="1899">
        <f t="shared" si="21"/>
        <v>0</v>
      </c>
      <c r="Q36" s="1719">
        <f t="shared" si="3"/>
        <v>19</v>
      </c>
      <c r="R36" s="1900">
        <f t="shared" si="22"/>
        <v>22383.9</v>
      </c>
      <c r="S36" s="1901">
        <f t="shared" si="23"/>
        <v>1</v>
      </c>
      <c r="T36" s="2263"/>
      <c r="U36" s="1423"/>
      <c r="V36" s="1423"/>
      <c r="W36" s="1423"/>
      <c r="X36" s="1434"/>
    </row>
    <row r="37" spans="1:24" s="1417" customFormat="1" ht="13.8">
      <c r="A37" s="1429"/>
      <c r="B37" s="1902" t="s">
        <v>4006</v>
      </c>
      <c r="C37" s="1903" t="s">
        <v>4007</v>
      </c>
      <c r="D37" s="1889" t="s">
        <v>38</v>
      </c>
      <c r="E37" s="1747">
        <v>213.95</v>
      </c>
      <c r="F37" s="1747">
        <v>176.66</v>
      </c>
      <c r="G37" s="1890">
        <v>179.42</v>
      </c>
      <c r="H37" s="1891">
        <f t="shared" si="2"/>
        <v>37796.406999999999</v>
      </c>
      <c r="I37" s="1891">
        <f t="shared" si="7"/>
        <v>38386.910000000003</v>
      </c>
      <c r="J37" s="1893">
        <v>0</v>
      </c>
      <c r="K37" s="1894">
        <v>0</v>
      </c>
      <c r="L37" s="1895"/>
      <c r="M37" s="1896">
        <f t="shared" si="19"/>
        <v>0</v>
      </c>
      <c r="N37" s="1897">
        <f t="shared" si="8"/>
        <v>0</v>
      </c>
      <c r="O37" s="1898">
        <f t="shared" si="20"/>
        <v>0</v>
      </c>
      <c r="P37" s="1899">
        <f t="shared" si="21"/>
        <v>0</v>
      </c>
      <c r="Q37" s="1719">
        <f t="shared" si="3"/>
        <v>213.95</v>
      </c>
      <c r="R37" s="1900">
        <f t="shared" si="22"/>
        <v>38386.910000000003</v>
      </c>
      <c r="S37" s="1901">
        <f t="shared" si="23"/>
        <v>1</v>
      </c>
      <c r="T37" s="2263"/>
      <c r="U37" s="1423"/>
      <c r="V37" s="1423"/>
      <c r="W37" s="1423"/>
      <c r="X37" s="1434"/>
    </row>
    <row r="38" spans="1:24" s="1417" customFormat="1" ht="13.8">
      <c r="B38" s="1902" t="s">
        <v>4008</v>
      </c>
      <c r="C38" s="1903" t="s">
        <v>4009</v>
      </c>
      <c r="D38" s="1889" t="s">
        <v>37</v>
      </c>
      <c r="E38" s="1747">
        <v>163.44</v>
      </c>
      <c r="F38" s="1747">
        <v>403.47</v>
      </c>
      <c r="G38" s="1890">
        <v>417.39</v>
      </c>
      <c r="H38" s="1891">
        <f t="shared" si="2"/>
        <v>65943.136800000007</v>
      </c>
      <c r="I38" s="1891">
        <f t="shared" si="7"/>
        <v>68218.22</v>
      </c>
      <c r="J38" s="1893">
        <v>0</v>
      </c>
      <c r="K38" s="1894">
        <v>0</v>
      </c>
      <c r="L38" s="1895"/>
      <c r="M38" s="1896">
        <f t="shared" si="19"/>
        <v>0</v>
      </c>
      <c r="N38" s="1897">
        <f t="shared" si="8"/>
        <v>0</v>
      </c>
      <c r="O38" s="1898">
        <f t="shared" si="20"/>
        <v>0</v>
      </c>
      <c r="P38" s="1899">
        <f t="shared" si="21"/>
        <v>0</v>
      </c>
      <c r="Q38" s="1719">
        <f t="shared" si="3"/>
        <v>163.44</v>
      </c>
      <c r="R38" s="1900">
        <f t="shared" si="22"/>
        <v>68218.22</v>
      </c>
      <c r="S38" s="1901">
        <f t="shared" si="23"/>
        <v>1</v>
      </c>
      <c r="T38" s="2263"/>
      <c r="U38" s="1423"/>
      <c r="V38" s="1423"/>
      <c r="W38" s="1423"/>
      <c r="X38" s="1434"/>
    </row>
    <row r="39" spans="1:24" s="1417" customFormat="1" ht="13.8">
      <c r="A39" s="1416"/>
      <c r="B39" s="1902" t="s">
        <v>4010</v>
      </c>
      <c r="C39" s="1903" t="s">
        <v>4011</v>
      </c>
      <c r="D39" s="1889" t="s">
        <v>36</v>
      </c>
      <c r="E39" s="1747">
        <v>1</v>
      </c>
      <c r="F39" s="1747">
        <v>1885.41</v>
      </c>
      <c r="G39" s="1890">
        <v>1900.72</v>
      </c>
      <c r="H39" s="1891">
        <f t="shared" si="2"/>
        <v>1885.41</v>
      </c>
      <c r="I39" s="1891">
        <f t="shared" si="7"/>
        <v>1900.72</v>
      </c>
      <c r="J39" s="1893">
        <v>0</v>
      </c>
      <c r="K39" s="1894">
        <v>0</v>
      </c>
      <c r="L39" s="1895"/>
      <c r="M39" s="1896">
        <f t="shared" si="19"/>
        <v>0</v>
      </c>
      <c r="N39" s="1897">
        <f t="shared" si="8"/>
        <v>0</v>
      </c>
      <c r="O39" s="1898">
        <f t="shared" si="20"/>
        <v>0</v>
      </c>
      <c r="P39" s="1899">
        <f t="shared" si="21"/>
        <v>0</v>
      </c>
      <c r="Q39" s="1719">
        <f t="shared" si="3"/>
        <v>1</v>
      </c>
      <c r="R39" s="1900">
        <f t="shared" si="22"/>
        <v>1900.72</v>
      </c>
      <c r="S39" s="1901">
        <f t="shared" si="23"/>
        <v>1</v>
      </c>
      <c r="T39" s="2263"/>
      <c r="U39" s="1423"/>
      <c r="V39" s="1423"/>
      <c r="W39" s="1423"/>
      <c r="X39" s="1434"/>
    </row>
    <row r="40" spans="1:24" s="1417" customFormat="1" ht="13.8">
      <c r="A40" s="1429"/>
      <c r="B40" s="1902" t="s">
        <v>4012</v>
      </c>
      <c r="C40" s="1903" t="s">
        <v>4013</v>
      </c>
      <c r="D40" s="1889" t="s">
        <v>36</v>
      </c>
      <c r="E40" s="1747">
        <v>5</v>
      </c>
      <c r="F40" s="1747">
        <v>1739.62</v>
      </c>
      <c r="G40" s="1890">
        <v>1754.93</v>
      </c>
      <c r="H40" s="1891">
        <f t="shared" si="2"/>
        <v>8698.0999999999985</v>
      </c>
      <c r="I40" s="1891">
        <f t="shared" si="7"/>
        <v>8774.65</v>
      </c>
      <c r="J40" s="1893">
        <v>0</v>
      </c>
      <c r="K40" s="1894">
        <v>0</v>
      </c>
      <c r="L40" s="1895"/>
      <c r="M40" s="1896">
        <f t="shared" si="19"/>
        <v>0</v>
      </c>
      <c r="N40" s="1897">
        <f t="shared" si="8"/>
        <v>0</v>
      </c>
      <c r="O40" s="1898">
        <f t="shared" si="20"/>
        <v>0</v>
      </c>
      <c r="P40" s="1899">
        <f t="shared" si="21"/>
        <v>0</v>
      </c>
      <c r="Q40" s="1719">
        <f t="shared" si="3"/>
        <v>5</v>
      </c>
      <c r="R40" s="1900">
        <f t="shared" si="22"/>
        <v>8774.65</v>
      </c>
      <c r="S40" s="1901">
        <f t="shared" si="23"/>
        <v>1</v>
      </c>
      <c r="T40" s="2263"/>
      <c r="U40" s="1423"/>
      <c r="V40" s="1423"/>
      <c r="W40" s="1423"/>
      <c r="X40" s="1434"/>
    </row>
    <row r="41" spans="1:24" s="1417" customFormat="1" ht="13.8">
      <c r="B41" s="1902" t="s">
        <v>4014</v>
      </c>
      <c r="C41" s="1903" t="s">
        <v>4015</v>
      </c>
      <c r="D41" s="1889" t="s">
        <v>36</v>
      </c>
      <c r="E41" s="1747">
        <v>2</v>
      </c>
      <c r="F41" s="1747">
        <v>1648.6</v>
      </c>
      <c r="G41" s="1890">
        <v>1663.91</v>
      </c>
      <c r="H41" s="1891">
        <f t="shared" si="2"/>
        <v>3297.2</v>
      </c>
      <c r="I41" s="1891">
        <f t="shared" si="7"/>
        <v>3327.82</v>
      </c>
      <c r="J41" s="1893">
        <v>0</v>
      </c>
      <c r="K41" s="1894">
        <v>0</v>
      </c>
      <c r="L41" s="1895"/>
      <c r="M41" s="1896">
        <f t="shared" si="19"/>
        <v>0</v>
      </c>
      <c r="N41" s="1897">
        <f t="shared" si="8"/>
        <v>0</v>
      </c>
      <c r="O41" s="1898">
        <f t="shared" si="20"/>
        <v>0</v>
      </c>
      <c r="P41" s="1899">
        <f t="shared" si="21"/>
        <v>0</v>
      </c>
      <c r="Q41" s="1719">
        <f t="shared" si="3"/>
        <v>2</v>
      </c>
      <c r="R41" s="1900">
        <f t="shared" si="22"/>
        <v>3327.82</v>
      </c>
      <c r="S41" s="1901">
        <f t="shared" si="23"/>
        <v>1</v>
      </c>
      <c r="T41" s="2263"/>
      <c r="U41" s="1423"/>
      <c r="V41" s="1423"/>
      <c r="W41" s="1423"/>
      <c r="X41" s="1434"/>
    </row>
    <row r="42" spans="1:24" s="1417" customFormat="1" ht="13.8">
      <c r="A42" s="1429"/>
      <c r="B42" s="1902" t="s">
        <v>4016</v>
      </c>
      <c r="C42" s="1903" t="s">
        <v>4017</v>
      </c>
      <c r="D42" s="1889" t="s">
        <v>38</v>
      </c>
      <c r="E42" s="1747">
        <v>95.25</v>
      </c>
      <c r="F42" s="1747">
        <v>78.17</v>
      </c>
      <c r="G42" s="1890">
        <v>79.7</v>
      </c>
      <c r="H42" s="1891">
        <f t="shared" si="2"/>
        <v>7445.6925000000001</v>
      </c>
      <c r="I42" s="1891">
        <f t="shared" si="7"/>
        <v>7591.43</v>
      </c>
      <c r="J42" s="1893">
        <v>0</v>
      </c>
      <c r="K42" s="1894">
        <v>0</v>
      </c>
      <c r="L42" s="1895"/>
      <c r="M42" s="1896">
        <f t="shared" si="19"/>
        <v>0</v>
      </c>
      <c r="N42" s="1897">
        <f t="shared" si="8"/>
        <v>0</v>
      </c>
      <c r="O42" s="1898">
        <f t="shared" si="20"/>
        <v>0</v>
      </c>
      <c r="P42" s="1899">
        <f t="shared" si="21"/>
        <v>0</v>
      </c>
      <c r="Q42" s="1719">
        <f t="shared" si="3"/>
        <v>95.25</v>
      </c>
      <c r="R42" s="1900">
        <f t="shared" si="22"/>
        <v>7591.43</v>
      </c>
      <c r="S42" s="1901">
        <f t="shared" si="23"/>
        <v>1</v>
      </c>
      <c r="T42" s="2263"/>
      <c r="U42" s="1423"/>
      <c r="V42" s="1423"/>
      <c r="W42" s="1423"/>
      <c r="X42" s="1434"/>
    </row>
    <row r="43" spans="1:24" s="1417" customFormat="1" ht="13.8">
      <c r="A43" s="1429"/>
      <c r="B43" s="1902" t="s">
        <v>4018</v>
      </c>
      <c r="C43" s="1903" t="s">
        <v>4019</v>
      </c>
      <c r="D43" s="1889" t="s">
        <v>38</v>
      </c>
      <c r="E43" s="1747">
        <v>189.46</v>
      </c>
      <c r="F43" s="1747">
        <v>26.08</v>
      </c>
      <c r="G43" s="1890">
        <v>26.58</v>
      </c>
      <c r="H43" s="1891">
        <f t="shared" si="2"/>
        <v>4941.1167999999998</v>
      </c>
      <c r="I43" s="1891">
        <f t="shared" si="7"/>
        <v>5035.8500000000004</v>
      </c>
      <c r="J43" s="1893">
        <v>0</v>
      </c>
      <c r="K43" s="1894">
        <v>0</v>
      </c>
      <c r="L43" s="1895"/>
      <c r="M43" s="1896">
        <f t="shared" si="19"/>
        <v>0</v>
      </c>
      <c r="N43" s="1897">
        <f t="shared" si="8"/>
        <v>0</v>
      </c>
      <c r="O43" s="1898">
        <f t="shared" si="20"/>
        <v>0</v>
      </c>
      <c r="P43" s="1899">
        <f t="shared" si="21"/>
        <v>0</v>
      </c>
      <c r="Q43" s="1719">
        <f t="shared" si="3"/>
        <v>189.46</v>
      </c>
      <c r="R43" s="1900">
        <f t="shared" si="22"/>
        <v>5035.8500000000004</v>
      </c>
      <c r="S43" s="1901">
        <f t="shared" si="23"/>
        <v>1</v>
      </c>
      <c r="T43" s="2263"/>
      <c r="U43" s="1423"/>
      <c r="V43" s="1423"/>
      <c r="W43" s="1423"/>
      <c r="X43" s="1434"/>
    </row>
    <row r="44" spans="1:24" s="1417" customFormat="1" ht="13.8">
      <c r="B44" s="1902" t="s">
        <v>4020</v>
      </c>
      <c r="C44" s="1903" t="s">
        <v>4021</v>
      </c>
      <c r="D44" s="1889" t="s">
        <v>38</v>
      </c>
      <c r="E44" s="1747">
        <v>22</v>
      </c>
      <c r="F44" s="1747">
        <v>510.02</v>
      </c>
      <c r="G44" s="1890">
        <v>510.41</v>
      </c>
      <c r="H44" s="1891">
        <f t="shared" si="2"/>
        <v>11220.439999999999</v>
      </c>
      <c r="I44" s="1891">
        <f t="shared" si="7"/>
        <v>11229.02</v>
      </c>
      <c r="J44" s="1893">
        <v>0</v>
      </c>
      <c r="K44" s="1894">
        <v>0</v>
      </c>
      <c r="L44" s="1895"/>
      <c r="M44" s="1896">
        <f t="shared" si="19"/>
        <v>0</v>
      </c>
      <c r="N44" s="1897">
        <f t="shared" si="8"/>
        <v>0</v>
      </c>
      <c r="O44" s="1898">
        <f t="shared" si="20"/>
        <v>0</v>
      </c>
      <c r="P44" s="1899">
        <f t="shared" si="21"/>
        <v>0</v>
      </c>
      <c r="Q44" s="1719">
        <f t="shared" si="3"/>
        <v>22</v>
      </c>
      <c r="R44" s="1900">
        <f t="shared" si="22"/>
        <v>11229.02</v>
      </c>
      <c r="S44" s="1901">
        <f t="shared" si="23"/>
        <v>1</v>
      </c>
      <c r="T44" s="2263"/>
      <c r="U44" s="1423"/>
      <c r="V44" s="1423"/>
      <c r="W44" s="1423"/>
      <c r="X44" s="1434"/>
    </row>
    <row r="45" spans="1:24" s="1417" customFormat="1" ht="13.8">
      <c r="A45" s="1416"/>
      <c r="B45" s="1902" t="s">
        <v>4022</v>
      </c>
      <c r="C45" s="1903" t="s">
        <v>4023</v>
      </c>
      <c r="D45" s="1889" t="s">
        <v>38</v>
      </c>
      <c r="E45" s="1747">
        <v>32.299999999999997</v>
      </c>
      <c r="F45" s="1747">
        <v>140.13</v>
      </c>
      <c r="G45" s="1890">
        <v>140.52000000000001</v>
      </c>
      <c r="H45" s="1891">
        <f t="shared" si="2"/>
        <v>4526.1989999999996</v>
      </c>
      <c r="I45" s="1891">
        <f t="shared" si="7"/>
        <v>4538.8</v>
      </c>
      <c r="J45" s="1893">
        <v>0</v>
      </c>
      <c r="K45" s="1894">
        <v>0</v>
      </c>
      <c r="L45" s="1895"/>
      <c r="M45" s="1896">
        <f t="shared" si="19"/>
        <v>0</v>
      </c>
      <c r="N45" s="1897">
        <f t="shared" si="8"/>
        <v>0</v>
      </c>
      <c r="O45" s="1898">
        <f t="shared" si="20"/>
        <v>0</v>
      </c>
      <c r="P45" s="1899">
        <f t="shared" si="21"/>
        <v>0</v>
      </c>
      <c r="Q45" s="1719">
        <f t="shared" si="3"/>
        <v>32.299999999999997</v>
      </c>
      <c r="R45" s="1900">
        <f t="shared" si="22"/>
        <v>4538.8</v>
      </c>
      <c r="S45" s="1901">
        <f t="shared" si="23"/>
        <v>1</v>
      </c>
      <c r="T45" s="2263"/>
      <c r="U45" s="1423"/>
      <c r="V45" s="1423"/>
      <c r="W45" s="1423"/>
      <c r="X45" s="1434"/>
    </row>
    <row r="46" spans="1:24" s="1417" customFormat="1" ht="13.8">
      <c r="A46" s="1429"/>
      <c r="B46" s="1902" t="s">
        <v>4024</v>
      </c>
      <c r="C46" s="1903" t="s">
        <v>4025</v>
      </c>
      <c r="D46" s="1889" t="s">
        <v>38</v>
      </c>
      <c r="E46" s="1747">
        <v>12.7</v>
      </c>
      <c r="F46" s="1747">
        <v>56.23</v>
      </c>
      <c r="G46" s="1890">
        <v>56.87</v>
      </c>
      <c r="H46" s="1891">
        <f t="shared" si="2"/>
        <v>714.12099999999987</v>
      </c>
      <c r="I46" s="1891">
        <f t="shared" si="7"/>
        <v>722.25</v>
      </c>
      <c r="J46" s="1893">
        <v>0</v>
      </c>
      <c r="K46" s="1894">
        <v>0</v>
      </c>
      <c r="L46" s="1895"/>
      <c r="M46" s="1896">
        <f t="shared" si="19"/>
        <v>0</v>
      </c>
      <c r="N46" s="1897">
        <f t="shared" si="8"/>
        <v>0</v>
      </c>
      <c r="O46" s="1898">
        <f t="shared" si="20"/>
        <v>0</v>
      </c>
      <c r="P46" s="1899">
        <f t="shared" si="21"/>
        <v>0</v>
      </c>
      <c r="Q46" s="1719">
        <f t="shared" si="3"/>
        <v>12.7</v>
      </c>
      <c r="R46" s="1900">
        <f t="shared" si="22"/>
        <v>722.25</v>
      </c>
      <c r="S46" s="1901">
        <f t="shared" si="23"/>
        <v>1</v>
      </c>
      <c r="T46" s="2263"/>
      <c r="U46" s="1423"/>
      <c r="V46" s="1423"/>
      <c r="W46" s="1423"/>
      <c r="X46" s="1434"/>
    </row>
    <row r="47" spans="1:24" s="1417" customFormat="1" ht="13.8">
      <c r="B47" s="1902" t="s">
        <v>4026</v>
      </c>
      <c r="C47" s="1903" t="s">
        <v>4027</v>
      </c>
      <c r="D47" s="1889" t="s">
        <v>37</v>
      </c>
      <c r="E47" s="1747">
        <v>163.56</v>
      </c>
      <c r="F47" s="1747">
        <v>359.23</v>
      </c>
      <c r="G47" s="1890">
        <v>360.76</v>
      </c>
      <c r="H47" s="1891">
        <f t="shared" si="2"/>
        <v>58755.658800000005</v>
      </c>
      <c r="I47" s="1891">
        <f t="shared" si="7"/>
        <v>59005.91</v>
      </c>
      <c r="J47" s="1893">
        <v>0</v>
      </c>
      <c r="K47" s="1894">
        <v>0</v>
      </c>
      <c r="L47" s="1895"/>
      <c r="M47" s="1896">
        <f t="shared" si="19"/>
        <v>0</v>
      </c>
      <c r="N47" s="1897">
        <f t="shared" si="8"/>
        <v>0</v>
      </c>
      <c r="O47" s="1898">
        <f t="shared" si="20"/>
        <v>0</v>
      </c>
      <c r="P47" s="1899">
        <f t="shared" si="21"/>
        <v>0</v>
      </c>
      <c r="Q47" s="1719">
        <f t="shared" si="3"/>
        <v>163.56</v>
      </c>
      <c r="R47" s="1900">
        <f t="shared" si="22"/>
        <v>59005.91</v>
      </c>
      <c r="S47" s="1901">
        <f t="shared" si="23"/>
        <v>1</v>
      </c>
      <c r="T47" s="2263"/>
      <c r="U47" s="1423"/>
      <c r="V47" s="1423"/>
      <c r="W47" s="1423"/>
      <c r="X47" s="1434"/>
    </row>
    <row r="48" spans="1:24" s="1417" customFormat="1" ht="13.8">
      <c r="A48" s="1416"/>
      <c r="B48" s="2303" t="s">
        <v>4028</v>
      </c>
      <c r="C48" s="2304" t="s">
        <v>4029</v>
      </c>
      <c r="D48" s="1889"/>
      <c r="E48" s="1747"/>
      <c r="F48" s="1747"/>
      <c r="G48" s="1890"/>
      <c r="H48" s="1891"/>
      <c r="I48" s="1891">
        <f t="shared" si="7"/>
        <v>0</v>
      </c>
      <c r="J48" s="1893"/>
      <c r="K48" s="1894"/>
      <c r="L48" s="1895"/>
      <c r="M48" s="1896"/>
      <c r="N48" s="1897"/>
      <c r="O48" s="1898"/>
      <c r="P48" s="1899"/>
      <c r="Q48" s="1719"/>
      <c r="R48" s="1900"/>
      <c r="S48" s="1901" t="str">
        <f t="shared" si="6"/>
        <v/>
      </c>
      <c r="T48" s="2263"/>
      <c r="U48" s="1423"/>
      <c r="V48" s="1423"/>
      <c r="W48" s="1423"/>
      <c r="X48" s="1434"/>
    </row>
    <row r="49" spans="1:24" s="1417" customFormat="1" ht="13.8">
      <c r="A49" s="1429"/>
      <c r="B49" s="1902" t="s">
        <v>4030</v>
      </c>
      <c r="C49" s="1903" t="s">
        <v>4031</v>
      </c>
      <c r="D49" s="1889" t="s">
        <v>36</v>
      </c>
      <c r="E49" s="1747">
        <v>46</v>
      </c>
      <c r="F49" s="1747">
        <v>379.31</v>
      </c>
      <c r="G49" s="1890">
        <v>394.18</v>
      </c>
      <c r="H49" s="1891">
        <f t="shared" si="2"/>
        <v>17448.259999999998</v>
      </c>
      <c r="I49" s="1891">
        <f t="shared" si="7"/>
        <v>18132.28</v>
      </c>
      <c r="J49" s="1893">
        <v>0</v>
      </c>
      <c r="K49" s="1894">
        <v>0</v>
      </c>
      <c r="L49" s="1895"/>
      <c r="M49" s="1896">
        <f t="shared" ref="M49" si="24">L49*G49</f>
        <v>0</v>
      </c>
      <c r="N49" s="1897">
        <f t="shared" si="8"/>
        <v>0</v>
      </c>
      <c r="O49" s="1898">
        <f>N49*G49</f>
        <v>0</v>
      </c>
      <c r="P49" s="1899">
        <f>+IF(D49=0,"",O49/I49)</f>
        <v>0</v>
      </c>
      <c r="Q49" s="1719">
        <f t="shared" si="3"/>
        <v>46</v>
      </c>
      <c r="R49" s="1900">
        <f>ROUND((Q49*G49),2)</f>
        <v>18132.28</v>
      </c>
      <c r="S49" s="1901">
        <f>+IF(I49=0,"",R49/I49)</f>
        <v>1</v>
      </c>
      <c r="T49" s="2263"/>
      <c r="U49" s="1423"/>
      <c r="V49" s="1423"/>
      <c r="W49" s="1423"/>
      <c r="X49" s="1434"/>
    </row>
    <row r="50" spans="1:24" s="1417" customFormat="1" ht="13.8">
      <c r="B50" s="2305" t="s">
        <v>550</v>
      </c>
      <c r="C50" s="2306" t="s">
        <v>4032</v>
      </c>
      <c r="D50" s="1889"/>
      <c r="E50" s="1747"/>
      <c r="F50" s="1747"/>
      <c r="G50" s="1890"/>
      <c r="H50" s="1891"/>
      <c r="I50" s="1891">
        <f t="shared" si="7"/>
        <v>0</v>
      </c>
      <c r="J50" s="1893"/>
      <c r="K50" s="1894"/>
      <c r="L50" s="1895"/>
      <c r="M50" s="1896"/>
      <c r="N50" s="1897"/>
      <c r="O50" s="1898"/>
      <c r="P50" s="1899"/>
      <c r="Q50" s="1719"/>
      <c r="R50" s="1900"/>
      <c r="S50" s="1901" t="str">
        <f t="shared" si="6"/>
        <v/>
      </c>
      <c r="T50" s="2263"/>
      <c r="U50" s="1423"/>
      <c r="V50" s="1423"/>
      <c r="W50" s="1423"/>
      <c r="X50" s="1434"/>
    </row>
    <row r="51" spans="1:24" s="1417" customFormat="1" ht="13.8">
      <c r="A51" s="1429"/>
      <c r="B51" s="1902" t="s">
        <v>4033</v>
      </c>
      <c r="C51" s="1903" t="s">
        <v>4034</v>
      </c>
      <c r="D51" s="1889" t="s">
        <v>36</v>
      </c>
      <c r="E51" s="1747">
        <v>20</v>
      </c>
      <c r="F51" s="1747">
        <v>172.18</v>
      </c>
      <c r="G51" s="1890">
        <v>177.29</v>
      </c>
      <c r="H51" s="1891">
        <f t="shared" si="2"/>
        <v>3443.6000000000004</v>
      </c>
      <c r="I51" s="1891">
        <f t="shared" si="7"/>
        <v>3545.8</v>
      </c>
      <c r="J51" s="1893">
        <v>0</v>
      </c>
      <c r="K51" s="1894">
        <v>0</v>
      </c>
      <c r="L51" s="1895"/>
      <c r="M51" s="1896">
        <f t="shared" ref="M51:M60" si="25">L51*G51</f>
        <v>0</v>
      </c>
      <c r="N51" s="1897">
        <f t="shared" si="8"/>
        <v>0</v>
      </c>
      <c r="O51" s="1898">
        <f t="shared" ref="O51:O60" si="26">N51*G51</f>
        <v>0</v>
      </c>
      <c r="P51" s="1899">
        <f t="shared" ref="P51:P60" si="27">+IF(D51=0,"",O51/I51)</f>
        <v>0</v>
      </c>
      <c r="Q51" s="1719">
        <f t="shared" si="3"/>
        <v>20</v>
      </c>
      <c r="R51" s="1900">
        <f t="shared" ref="R51:R60" si="28">ROUND((Q51*G51),2)</f>
        <v>3545.8</v>
      </c>
      <c r="S51" s="1901">
        <f t="shared" ref="S51:S60" si="29">+IF(I51=0,"",R51/I51)</f>
        <v>1</v>
      </c>
      <c r="T51" s="2263"/>
      <c r="U51" s="1423"/>
      <c r="V51" s="1423"/>
      <c r="W51" s="1423"/>
      <c r="X51" s="1434"/>
    </row>
    <row r="52" spans="1:24" s="1417" customFormat="1" ht="13.8">
      <c r="A52" s="1429"/>
      <c r="B52" s="1902" t="s">
        <v>4035</v>
      </c>
      <c r="C52" s="1903" t="s">
        <v>4036</v>
      </c>
      <c r="D52" s="1889" t="s">
        <v>36</v>
      </c>
      <c r="E52" s="1747">
        <v>20</v>
      </c>
      <c r="F52" s="1747">
        <v>1083.44</v>
      </c>
      <c r="G52" s="1890">
        <v>1088.55</v>
      </c>
      <c r="H52" s="1891">
        <f t="shared" si="2"/>
        <v>21668.800000000003</v>
      </c>
      <c r="I52" s="1891">
        <f t="shared" si="7"/>
        <v>21771</v>
      </c>
      <c r="J52" s="1893">
        <v>0</v>
      </c>
      <c r="K52" s="1894">
        <v>0</v>
      </c>
      <c r="L52" s="1895"/>
      <c r="M52" s="1896">
        <f t="shared" si="25"/>
        <v>0</v>
      </c>
      <c r="N52" s="1897">
        <f t="shared" si="8"/>
        <v>0</v>
      </c>
      <c r="O52" s="1898">
        <f t="shared" si="26"/>
        <v>0</v>
      </c>
      <c r="P52" s="1899">
        <f t="shared" si="27"/>
        <v>0</v>
      </c>
      <c r="Q52" s="1719">
        <f t="shared" si="3"/>
        <v>20</v>
      </c>
      <c r="R52" s="1900">
        <f t="shared" si="28"/>
        <v>21771</v>
      </c>
      <c r="S52" s="1901">
        <f t="shared" si="29"/>
        <v>1</v>
      </c>
      <c r="T52" s="2263"/>
      <c r="U52" s="1423"/>
      <c r="V52" s="1423"/>
      <c r="W52" s="1423"/>
      <c r="X52" s="1434"/>
    </row>
    <row r="53" spans="1:24" s="1417" customFormat="1" ht="13.8">
      <c r="B53" s="1902" t="s">
        <v>4037</v>
      </c>
      <c r="C53" s="1903" t="s">
        <v>4007</v>
      </c>
      <c r="D53" s="1889" t="s">
        <v>38</v>
      </c>
      <c r="E53" s="1747">
        <v>250.24</v>
      </c>
      <c r="F53" s="1747">
        <v>178.6</v>
      </c>
      <c r="G53" s="1890">
        <v>181.36</v>
      </c>
      <c r="H53" s="1891">
        <f t="shared" si="2"/>
        <v>44692.864000000001</v>
      </c>
      <c r="I53" s="1891">
        <f t="shared" si="7"/>
        <v>45383.53</v>
      </c>
      <c r="J53" s="1893">
        <v>0</v>
      </c>
      <c r="K53" s="1894">
        <v>0</v>
      </c>
      <c r="L53" s="1895"/>
      <c r="M53" s="1896">
        <f t="shared" si="25"/>
        <v>0</v>
      </c>
      <c r="N53" s="1897">
        <f t="shared" si="8"/>
        <v>0</v>
      </c>
      <c r="O53" s="1898">
        <f t="shared" si="26"/>
        <v>0</v>
      </c>
      <c r="P53" s="1899">
        <f t="shared" si="27"/>
        <v>0</v>
      </c>
      <c r="Q53" s="1719">
        <f t="shared" si="3"/>
        <v>250.24</v>
      </c>
      <c r="R53" s="1900">
        <f t="shared" si="28"/>
        <v>45383.53</v>
      </c>
      <c r="S53" s="1901">
        <f t="shared" si="29"/>
        <v>1</v>
      </c>
      <c r="T53" s="2263"/>
      <c r="U53" s="1423"/>
      <c r="V53" s="1423"/>
      <c r="W53" s="1423"/>
      <c r="X53" s="1434"/>
    </row>
    <row r="54" spans="1:24" s="1417" customFormat="1" ht="13.8">
      <c r="A54" s="1416"/>
      <c r="B54" s="1902" t="s">
        <v>4038</v>
      </c>
      <c r="C54" s="1903" t="s">
        <v>4039</v>
      </c>
      <c r="D54" s="1889" t="s">
        <v>37</v>
      </c>
      <c r="E54" s="1747">
        <v>193.51</v>
      </c>
      <c r="F54" s="1747">
        <v>432.39</v>
      </c>
      <c r="G54" s="1890">
        <v>447.7</v>
      </c>
      <c r="H54" s="1891">
        <f t="shared" si="2"/>
        <v>83671.7889</v>
      </c>
      <c r="I54" s="1891">
        <f t="shared" si="7"/>
        <v>86634.43</v>
      </c>
      <c r="J54" s="1893">
        <v>0</v>
      </c>
      <c r="K54" s="1894">
        <v>0</v>
      </c>
      <c r="L54" s="1895"/>
      <c r="M54" s="1896">
        <f t="shared" si="25"/>
        <v>0</v>
      </c>
      <c r="N54" s="1897">
        <f t="shared" si="8"/>
        <v>0</v>
      </c>
      <c r="O54" s="1898">
        <f t="shared" si="26"/>
        <v>0</v>
      </c>
      <c r="P54" s="1899">
        <f t="shared" si="27"/>
        <v>0</v>
      </c>
      <c r="Q54" s="1719">
        <f t="shared" si="3"/>
        <v>193.51</v>
      </c>
      <c r="R54" s="1900">
        <f t="shared" si="28"/>
        <v>86634.43</v>
      </c>
      <c r="S54" s="1901">
        <f t="shared" si="29"/>
        <v>1</v>
      </c>
      <c r="T54" s="2263"/>
      <c r="U54" s="1423"/>
      <c r="V54" s="1423"/>
      <c r="W54" s="1423"/>
      <c r="X54" s="1434"/>
    </row>
    <row r="55" spans="1:24" s="1417" customFormat="1" ht="13.8">
      <c r="A55" s="1429"/>
      <c r="B55" s="1902" t="s">
        <v>4040</v>
      </c>
      <c r="C55" s="1903" t="s">
        <v>4041</v>
      </c>
      <c r="D55" s="1889" t="s">
        <v>38</v>
      </c>
      <c r="E55" s="1747">
        <v>103.8</v>
      </c>
      <c r="F55" s="1747">
        <v>78.06</v>
      </c>
      <c r="G55" s="1890">
        <v>79.59</v>
      </c>
      <c r="H55" s="1891">
        <f t="shared" si="2"/>
        <v>8102.6279999999997</v>
      </c>
      <c r="I55" s="1891">
        <f t="shared" si="7"/>
        <v>8261.44</v>
      </c>
      <c r="J55" s="1893">
        <v>0</v>
      </c>
      <c r="K55" s="1894">
        <v>0</v>
      </c>
      <c r="L55" s="1895"/>
      <c r="M55" s="1896">
        <f t="shared" si="25"/>
        <v>0</v>
      </c>
      <c r="N55" s="1897">
        <f t="shared" si="8"/>
        <v>0</v>
      </c>
      <c r="O55" s="1898">
        <f t="shared" si="26"/>
        <v>0</v>
      </c>
      <c r="P55" s="1899">
        <f t="shared" si="27"/>
        <v>0</v>
      </c>
      <c r="Q55" s="1719">
        <f t="shared" si="3"/>
        <v>103.8</v>
      </c>
      <c r="R55" s="1900">
        <f t="shared" si="28"/>
        <v>8261.44</v>
      </c>
      <c r="S55" s="1901">
        <f t="shared" si="29"/>
        <v>1</v>
      </c>
      <c r="T55" s="2263"/>
      <c r="U55" s="1423"/>
      <c r="V55" s="1423"/>
      <c r="W55" s="1423"/>
      <c r="X55" s="1434"/>
    </row>
    <row r="56" spans="1:24" s="1417" customFormat="1" ht="13.8">
      <c r="B56" s="1902" t="s">
        <v>4042</v>
      </c>
      <c r="C56" s="1903" t="s">
        <v>4019</v>
      </c>
      <c r="D56" s="1889" t="s">
        <v>38</v>
      </c>
      <c r="E56" s="1747">
        <v>206.45</v>
      </c>
      <c r="F56" s="1747">
        <v>25.25</v>
      </c>
      <c r="G56" s="1890">
        <v>25.75</v>
      </c>
      <c r="H56" s="1891">
        <f t="shared" si="2"/>
        <v>5212.8624999999993</v>
      </c>
      <c r="I56" s="1891">
        <f t="shared" si="7"/>
        <v>5316.09</v>
      </c>
      <c r="J56" s="1893">
        <v>0</v>
      </c>
      <c r="K56" s="1894">
        <v>0</v>
      </c>
      <c r="L56" s="1895"/>
      <c r="M56" s="1896">
        <f t="shared" si="25"/>
        <v>0</v>
      </c>
      <c r="N56" s="1897">
        <f t="shared" si="8"/>
        <v>0</v>
      </c>
      <c r="O56" s="1898">
        <f t="shared" si="26"/>
        <v>0</v>
      </c>
      <c r="P56" s="1899">
        <f t="shared" si="27"/>
        <v>0</v>
      </c>
      <c r="Q56" s="1719">
        <f t="shared" si="3"/>
        <v>206.45</v>
      </c>
      <c r="R56" s="1900">
        <f t="shared" si="28"/>
        <v>5316.09</v>
      </c>
      <c r="S56" s="1901">
        <f t="shared" si="29"/>
        <v>1</v>
      </c>
      <c r="T56" s="2263"/>
      <c r="U56" s="1423"/>
      <c r="V56" s="1423"/>
      <c r="W56" s="1423"/>
      <c r="X56" s="1434"/>
    </row>
    <row r="57" spans="1:24" s="1417" customFormat="1" ht="13.8">
      <c r="A57" s="1416"/>
      <c r="B57" s="1902" t="s">
        <v>4043</v>
      </c>
      <c r="C57" s="1903" t="s">
        <v>4044</v>
      </c>
      <c r="D57" s="1889" t="s">
        <v>38</v>
      </c>
      <c r="E57" s="1747">
        <v>8.6</v>
      </c>
      <c r="F57" s="1747">
        <v>207.53</v>
      </c>
      <c r="G57" s="1890">
        <v>207.92</v>
      </c>
      <c r="H57" s="1891">
        <f t="shared" si="2"/>
        <v>1784.758</v>
      </c>
      <c r="I57" s="1891">
        <f t="shared" si="7"/>
        <v>1788.11</v>
      </c>
      <c r="J57" s="1893">
        <v>0</v>
      </c>
      <c r="K57" s="1894">
        <v>0</v>
      </c>
      <c r="L57" s="1895"/>
      <c r="M57" s="1896">
        <f t="shared" si="25"/>
        <v>0</v>
      </c>
      <c r="N57" s="1897">
        <f t="shared" si="8"/>
        <v>0</v>
      </c>
      <c r="O57" s="1898">
        <f t="shared" si="26"/>
        <v>0</v>
      </c>
      <c r="P57" s="1899">
        <f t="shared" si="27"/>
        <v>0</v>
      </c>
      <c r="Q57" s="1719">
        <f t="shared" si="3"/>
        <v>8.6</v>
      </c>
      <c r="R57" s="1900">
        <f t="shared" si="28"/>
        <v>1788.11</v>
      </c>
      <c r="S57" s="1901">
        <f t="shared" si="29"/>
        <v>1</v>
      </c>
      <c r="T57" s="2263"/>
      <c r="U57" s="1423"/>
      <c r="V57" s="1423"/>
      <c r="W57" s="1423"/>
      <c r="X57" s="1434"/>
    </row>
    <row r="58" spans="1:24" s="1417" customFormat="1" ht="13.8">
      <c r="A58" s="1429"/>
      <c r="B58" s="1902" t="s">
        <v>4045</v>
      </c>
      <c r="C58" s="1903" t="s">
        <v>4046</v>
      </c>
      <c r="D58" s="1889" t="s">
        <v>38</v>
      </c>
      <c r="E58" s="1747">
        <v>68</v>
      </c>
      <c r="F58" s="1747">
        <v>282.11</v>
      </c>
      <c r="G58" s="1890">
        <v>282.5</v>
      </c>
      <c r="H58" s="1891">
        <f t="shared" si="2"/>
        <v>19183.48</v>
      </c>
      <c r="I58" s="1891">
        <f t="shared" si="7"/>
        <v>19210</v>
      </c>
      <c r="J58" s="1893">
        <v>0</v>
      </c>
      <c r="K58" s="1894">
        <v>0</v>
      </c>
      <c r="L58" s="1895"/>
      <c r="M58" s="1896">
        <f t="shared" si="25"/>
        <v>0</v>
      </c>
      <c r="N58" s="1897">
        <f t="shared" si="8"/>
        <v>0</v>
      </c>
      <c r="O58" s="1898">
        <f t="shared" si="26"/>
        <v>0</v>
      </c>
      <c r="P58" s="1899">
        <f t="shared" si="27"/>
        <v>0</v>
      </c>
      <c r="Q58" s="1719">
        <f t="shared" si="3"/>
        <v>68</v>
      </c>
      <c r="R58" s="1900">
        <f t="shared" si="28"/>
        <v>19210</v>
      </c>
      <c r="S58" s="1901">
        <f t="shared" si="29"/>
        <v>1</v>
      </c>
      <c r="T58" s="2263"/>
      <c r="U58" s="1423"/>
      <c r="V58" s="1423"/>
      <c r="W58" s="1423"/>
      <c r="X58" s="1434"/>
    </row>
    <row r="59" spans="1:24" s="1417" customFormat="1" ht="13.8">
      <c r="B59" s="1902" t="s">
        <v>4047</v>
      </c>
      <c r="C59" s="1903" t="s">
        <v>4048</v>
      </c>
      <c r="D59" s="1889" t="s">
        <v>38</v>
      </c>
      <c r="E59" s="1747">
        <v>26.3</v>
      </c>
      <c r="F59" s="1747">
        <v>53.68</v>
      </c>
      <c r="G59" s="1890">
        <v>54.32</v>
      </c>
      <c r="H59" s="1891">
        <f t="shared" si="2"/>
        <v>1411.7840000000001</v>
      </c>
      <c r="I59" s="1891">
        <f t="shared" si="7"/>
        <v>1428.62</v>
      </c>
      <c r="J59" s="1893">
        <v>0</v>
      </c>
      <c r="K59" s="1894">
        <v>0</v>
      </c>
      <c r="L59" s="1895"/>
      <c r="M59" s="1896">
        <f t="shared" si="25"/>
        <v>0</v>
      </c>
      <c r="N59" s="1897">
        <f t="shared" si="8"/>
        <v>0</v>
      </c>
      <c r="O59" s="1898">
        <f t="shared" si="26"/>
        <v>0</v>
      </c>
      <c r="P59" s="1899">
        <f t="shared" si="27"/>
        <v>0</v>
      </c>
      <c r="Q59" s="1719">
        <f t="shared" si="3"/>
        <v>26.3</v>
      </c>
      <c r="R59" s="1900">
        <f t="shared" si="28"/>
        <v>1428.62</v>
      </c>
      <c r="S59" s="1901">
        <f t="shared" si="29"/>
        <v>1</v>
      </c>
      <c r="T59" s="2263"/>
      <c r="U59" s="1423"/>
      <c r="V59" s="1423"/>
      <c r="W59" s="1423"/>
      <c r="X59" s="1434"/>
    </row>
    <row r="60" spans="1:24" s="1417" customFormat="1" ht="13.8">
      <c r="A60" s="1429"/>
      <c r="B60" s="1902" t="s">
        <v>4049</v>
      </c>
      <c r="C60" s="1903" t="s">
        <v>4027</v>
      </c>
      <c r="D60" s="1889" t="s">
        <v>37</v>
      </c>
      <c r="E60" s="1747">
        <v>193.51</v>
      </c>
      <c r="F60" s="1747">
        <v>404.25</v>
      </c>
      <c r="G60" s="1890">
        <v>407.31</v>
      </c>
      <c r="H60" s="1891">
        <f t="shared" si="2"/>
        <v>78226.417499999996</v>
      </c>
      <c r="I60" s="1891">
        <f t="shared" si="7"/>
        <v>78818.559999999998</v>
      </c>
      <c r="J60" s="1893">
        <v>0</v>
      </c>
      <c r="K60" s="1894">
        <v>0</v>
      </c>
      <c r="L60" s="1895"/>
      <c r="M60" s="1896">
        <f t="shared" si="25"/>
        <v>0</v>
      </c>
      <c r="N60" s="1897">
        <f t="shared" si="8"/>
        <v>0</v>
      </c>
      <c r="O60" s="1898">
        <f t="shared" si="26"/>
        <v>0</v>
      </c>
      <c r="P60" s="1899">
        <f t="shared" si="27"/>
        <v>0</v>
      </c>
      <c r="Q60" s="1719">
        <f t="shared" si="3"/>
        <v>193.51</v>
      </c>
      <c r="R60" s="1900">
        <f t="shared" si="28"/>
        <v>78818.559999999998</v>
      </c>
      <c r="S60" s="1901">
        <f t="shared" si="29"/>
        <v>1</v>
      </c>
      <c r="T60" s="2263"/>
      <c r="U60" s="1423"/>
      <c r="V60" s="1423"/>
      <c r="W60" s="1423"/>
      <c r="X60" s="1434"/>
    </row>
    <row r="61" spans="1:24" s="1417" customFormat="1" ht="13.8">
      <c r="A61" s="1429"/>
      <c r="B61" s="2303" t="s">
        <v>4050</v>
      </c>
      <c r="C61" s="2304" t="s">
        <v>4029</v>
      </c>
      <c r="D61" s="1889"/>
      <c r="E61" s="1747"/>
      <c r="F61" s="1747"/>
      <c r="G61" s="1890"/>
      <c r="H61" s="1891"/>
      <c r="I61" s="1891">
        <f t="shared" si="7"/>
        <v>0</v>
      </c>
      <c r="J61" s="1893"/>
      <c r="K61" s="1894"/>
      <c r="L61" s="1895"/>
      <c r="M61" s="1896"/>
      <c r="N61" s="1897"/>
      <c r="O61" s="1898"/>
      <c r="P61" s="1899"/>
      <c r="Q61" s="1719"/>
      <c r="R61" s="1900"/>
      <c r="S61" s="1901" t="str">
        <f t="shared" si="6"/>
        <v/>
      </c>
      <c r="T61" s="2263"/>
      <c r="U61" s="1423"/>
      <c r="V61" s="1423"/>
      <c r="W61" s="1423"/>
      <c r="X61" s="1434"/>
    </row>
    <row r="62" spans="1:24" s="1417" customFormat="1" ht="13.8">
      <c r="B62" s="1902" t="s">
        <v>4051</v>
      </c>
      <c r="C62" s="1903" t="s">
        <v>4052</v>
      </c>
      <c r="D62" s="1889" t="s">
        <v>36</v>
      </c>
      <c r="E62" s="1747">
        <v>40</v>
      </c>
      <c r="F62" s="1747">
        <v>360.05</v>
      </c>
      <c r="G62" s="1890">
        <v>374.92</v>
      </c>
      <c r="H62" s="1891">
        <f t="shared" si="2"/>
        <v>14402</v>
      </c>
      <c r="I62" s="1891">
        <f t="shared" si="7"/>
        <v>14996.8</v>
      </c>
      <c r="J62" s="1893">
        <v>0</v>
      </c>
      <c r="K62" s="1894">
        <v>0</v>
      </c>
      <c r="L62" s="1895"/>
      <c r="M62" s="1896">
        <f t="shared" ref="M62" si="30">L62*G62</f>
        <v>0</v>
      </c>
      <c r="N62" s="1897">
        <f t="shared" si="8"/>
        <v>0</v>
      </c>
      <c r="O62" s="1898">
        <f>N62*G62</f>
        <v>0</v>
      </c>
      <c r="P62" s="1899">
        <f>+IF(D62=0,"",O62/I62)</f>
        <v>0</v>
      </c>
      <c r="Q62" s="1719">
        <f t="shared" si="3"/>
        <v>40</v>
      </c>
      <c r="R62" s="1900">
        <f>ROUND((Q62*G62),2)</f>
        <v>14996.8</v>
      </c>
      <c r="S62" s="1901">
        <f>+IF(I62=0,"",R62/I62)</f>
        <v>1</v>
      </c>
      <c r="T62" s="2263"/>
      <c r="U62" s="1423"/>
      <c r="V62" s="1423"/>
      <c r="W62" s="1423"/>
      <c r="X62" s="1434"/>
    </row>
    <row r="63" spans="1:24" s="1417" customFormat="1" ht="13.8">
      <c r="A63" s="1416"/>
      <c r="B63" s="2305" t="s">
        <v>2252</v>
      </c>
      <c r="C63" s="2306" t="s">
        <v>4053</v>
      </c>
      <c r="D63" s="1889"/>
      <c r="E63" s="1747"/>
      <c r="F63" s="1747"/>
      <c r="G63" s="1890"/>
      <c r="H63" s="1891"/>
      <c r="I63" s="1891">
        <f t="shared" si="7"/>
        <v>0</v>
      </c>
      <c r="J63" s="1893"/>
      <c r="K63" s="1894"/>
      <c r="L63" s="1895"/>
      <c r="M63" s="1896"/>
      <c r="N63" s="1897"/>
      <c r="O63" s="1898"/>
      <c r="P63" s="1899"/>
      <c r="Q63" s="1719"/>
      <c r="R63" s="1900"/>
      <c r="S63" s="1901" t="str">
        <f t="shared" si="6"/>
        <v/>
      </c>
      <c r="T63" s="2263"/>
      <c r="U63" s="1423"/>
      <c r="V63" s="1423"/>
      <c r="W63" s="1423"/>
      <c r="X63" s="1434"/>
    </row>
    <row r="64" spans="1:24" s="1417" customFormat="1" ht="13.8">
      <c r="A64" s="1429"/>
      <c r="B64" s="1902" t="s">
        <v>4054</v>
      </c>
      <c r="C64" s="1903" t="s">
        <v>4055</v>
      </c>
      <c r="D64" s="1889" t="s">
        <v>36</v>
      </c>
      <c r="E64" s="1747">
        <v>14</v>
      </c>
      <c r="F64" s="1747">
        <v>172.18</v>
      </c>
      <c r="G64" s="1890">
        <v>177.29</v>
      </c>
      <c r="H64" s="1891">
        <f t="shared" si="2"/>
        <v>2410.52</v>
      </c>
      <c r="I64" s="1891">
        <f t="shared" si="7"/>
        <v>2482.06</v>
      </c>
      <c r="J64" s="1893">
        <v>0</v>
      </c>
      <c r="K64" s="1894">
        <v>0</v>
      </c>
      <c r="L64" s="1895"/>
      <c r="M64" s="1896">
        <f t="shared" ref="M64:M73" si="31">L64*G64</f>
        <v>0</v>
      </c>
      <c r="N64" s="1897">
        <f t="shared" si="8"/>
        <v>0</v>
      </c>
      <c r="O64" s="1898">
        <f t="shared" ref="O64:O73" si="32">N64*G64</f>
        <v>0</v>
      </c>
      <c r="P64" s="1899">
        <f t="shared" ref="P64:P73" si="33">+IF(D64=0,"",O64/I64)</f>
        <v>0</v>
      </c>
      <c r="Q64" s="1719">
        <f t="shared" si="3"/>
        <v>14</v>
      </c>
      <c r="R64" s="1900">
        <f t="shared" ref="R64:R73" si="34">ROUND((Q64*G64),2)</f>
        <v>2482.06</v>
      </c>
      <c r="S64" s="1901">
        <f t="shared" ref="S64:S73" si="35">+IF(I64=0,"",R64/I64)</f>
        <v>1</v>
      </c>
      <c r="T64" s="2263"/>
      <c r="U64" s="1423"/>
      <c r="V64" s="1423"/>
      <c r="W64" s="1423"/>
      <c r="X64" s="1434"/>
    </row>
    <row r="65" spans="1:24" s="1417" customFormat="1" ht="13.8">
      <c r="B65" s="1902" t="s">
        <v>4056</v>
      </c>
      <c r="C65" s="1903" t="s">
        <v>4057</v>
      </c>
      <c r="D65" s="1889" t="s">
        <v>36</v>
      </c>
      <c r="E65" s="1747">
        <v>14</v>
      </c>
      <c r="F65" s="1747">
        <v>1083.44</v>
      </c>
      <c r="G65" s="1890">
        <v>1088.55</v>
      </c>
      <c r="H65" s="1891">
        <f t="shared" si="2"/>
        <v>15168.16</v>
      </c>
      <c r="I65" s="1891">
        <f t="shared" si="7"/>
        <v>15239.7</v>
      </c>
      <c r="J65" s="1893">
        <v>0</v>
      </c>
      <c r="K65" s="1894">
        <v>0</v>
      </c>
      <c r="L65" s="1895"/>
      <c r="M65" s="1896">
        <f t="shared" si="31"/>
        <v>0</v>
      </c>
      <c r="N65" s="1897">
        <f t="shared" si="8"/>
        <v>0</v>
      </c>
      <c r="O65" s="1898">
        <f t="shared" si="32"/>
        <v>0</v>
      </c>
      <c r="P65" s="1899">
        <f t="shared" si="33"/>
        <v>0</v>
      </c>
      <c r="Q65" s="1719">
        <f t="shared" si="3"/>
        <v>14</v>
      </c>
      <c r="R65" s="1900">
        <f t="shared" si="34"/>
        <v>15239.7</v>
      </c>
      <c r="S65" s="1901">
        <f t="shared" si="35"/>
        <v>1</v>
      </c>
      <c r="T65" s="2263"/>
      <c r="U65" s="1423"/>
      <c r="V65" s="1423"/>
      <c r="W65" s="1423"/>
      <c r="X65" s="1434"/>
    </row>
    <row r="66" spans="1:24" s="1417" customFormat="1" ht="13.8">
      <c r="A66" s="1416"/>
      <c r="B66" s="1902" t="s">
        <v>4058</v>
      </c>
      <c r="C66" s="1903" t="s">
        <v>4007</v>
      </c>
      <c r="D66" s="1889" t="s">
        <v>38</v>
      </c>
      <c r="E66" s="1747">
        <v>110</v>
      </c>
      <c r="F66" s="1747">
        <v>148.5</v>
      </c>
      <c r="G66" s="1890">
        <v>150.04</v>
      </c>
      <c r="H66" s="1891">
        <f t="shared" si="2"/>
        <v>16335</v>
      </c>
      <c r="I66" s="1891">
        <f t="shared" si="7"/>
        <v>16504.400000000001</v>
      </c>
      <c r="J66" s="1893">
        <v>0</v>
      </c>
      <c r="K66" s="1894">
        <v>0</v>
      </c>
      <c r="L66" s="1895"/>
      <c r="M66" s="1896">
        <f t="shared" si="31"/>
        <v>0</v>
      </c>
      <c r="N66" s="1897">
        <f t="shared" si="8"/>
        <v>0</v>
      </c>
      <c r="O66" s="1898">
        <f t="shared" si="32"/>
        <v>0</v>
      </c>
      <c r="P66" s="1899">
        <f t="shared" si="33"/>
        <v>0</v>
      </c>
      <c r="Q66" s="1719">
        <f t="shared" si="3"/>
        <v>110</v>
      </c>
      <c r="R66" s="1900">
        <f t="shared" si="34"/>
        <v>16504.400000000001</v>
      </c>
      <c r="S66" s="1901">
        <f t="shared" si="35"/>
        <v>1</v>
      </c>
      <c r="T66" s="2263"/>
      <c r="U66" s="1423"/>
      <c r="V66" s="1423"/>
      <c r="W66" s="1423"/>
      <c r="X66" s="1434"/>
    </row>
    <row r="67" spans="1:24" s="1417" customFormat="1" ht="13.8">
      <c r="A67" s="1429"/>
      <c r="B67" s="1902" t="s">
        <v>4059</v>
      </c>
      <c r="C67" s="1903" t="s">
        <v>4060</v>
      </c>
      <c r="D67" s="1889" t="s">
        <v>37</v>
      </c>
      <c r="E67" s="1747">
        <v>89.24</v>
      </c>
      <c r="F67" s="1747">
        <v>442.33</v>
      </c>
      <c r="G67" s="1890">
        <v>457.64</v>
      </c>
      <c r="H67" s="1891">
        <f t="shared" si="2"/>
        <v>39473.529199999997</v>
      </c>
      <c r="I67" s="1891">
        <f t="shared" si="7"/>
        <v>40839.79</v>
      </c>
      <c r="J67" s="1893">
        <v>0</v>
      </c>
      <c r="K67" s="1894">
        <v>0</v>
      </c>
      <c r="L67" s="1895"/>
      <c r="M67" s="1896">
        <f t="shared" si="31"/>
        <v>0</v>
      </c>
      <c r="N67" s="1897">
        <f t="shared" si="8"/>
        <v>0</v>
      </c>
      <c r="O67" s="1898">
        <f t="shared" si="32"/>
        <v>0</v>
      </c>
      <c r="P67" s="1899">
        <f t="shared" si="33"/>
        <v>0</v>
      </c>
      <c r="Q67" s="1719">
        <f t="shared" si="3"/>
        <v>89.24</v>
      </c>
      <c r="R67" s="1900">
        <f t="shared" si="34"/>
        <v>40839.79</v>
      </c>
      <c r="S67" s="1901">
        <f t="shared" si="35"/>
        <v>1</v>
      </c>
      <c r="T67" s="2263"/>
      <c r="U67" s="1423"/>
      <c r="V67" s="1423"/>
      <c r="W67" s="1423"/>
      <c r="X67" s="1434"/>
    </row>
    <row r="68" spans="1:24" s="1417" customFormat="1" ht="13.8">
      <c r="B68" s="1902" t="s">
        <v>4061</v>
      </c>
      <c r="C68" s="1903" t="s">
        <v>4062</v>
      </c>
      <c r="D68" s="1889" t="s">
        <v>38</v>
      </c>
      <c r="E68" s="1747">
        <v>56</v>
      </c>
      <c r="F68" s="1747">
        <v>78.290000000000006</v>
      </c>
      <c r="G68" s="1890">
        <v>79.819999999999993</v>
      </c>
      <c r="H68" s="1891">
        <f t="shared" si="2"/>
        <v>4384.2400000000007</v>
      </c>
      <c r="I68" s="1891">
        <f t="shared" si="7"/>
        <v>4469.92</v>
      </c>
      <c r="J68" s="1893">
        <v>0</v>
      </c>
      <c r="K68" s="1894">
        <v>0</v>
      </c>
      <c r="L68" s="1895"/>
      <c r="M68" s="1896">
        <f t="shared" si="31"/>
        <v>0</v>
      </c>
      <c r="N68" s="1897">
        <f t="shared" si="8"/>
        <v>0</v>
      </c>
      <c r="O68" s="1898">
        <f t="shared" si="32"/>
        <v>0</v>
      </c>
      <c r="P68" s="1899">
        <f t="shared" si="33"/>
        <v>0</v>
      </c>
      <c r="Q68" s="1719">
        <f t="shared" si="3"/>
        <v>56</v>
      </c>
      <c r="R68" s="1900">
        <f t="shared" si="34"/>
        <v>4469.92</v>
      </c>
      <c r="S68" s="1901">
        <f t="shared" si="35"/>
        <v>1</v>
      </c>
      <c r="T68" s="2263"/>
      <c r="U68" s="1423"/>
      <c r="V68" s="1423"/>
      <c r="W68" s="1423"/>
      <c r="X68" s="1434"/>
    </row>
    <row r="69" spans="1:24" s="1417" customFormat="1" ht="13.8">
      <c r="A69" s="1429"/>
      <c r="B69" s="1902" t="s">
        <v>4063</v>
      </c>
      <c r="C69" s="1903" t="s">
        <v>4019</v>
      </c>
      <c r="D69" s="1889" t="s">
        <v>38</v>
      </c>
      <c r="E69" s="1747">
        <v>105.8</v>
      </c>
      <c r="F69" s="1747">
        <v>25.37</v>
      </c>
      <c r="G69" s="1890">
        <v>25.87</v>
      </c>
      <c r="H69" s="1891">
        <f t="shared" si="2"/>
        <v>2684.1460000000002</v>
      </c>
      <c r="I69" s="1891">
        <f t="shared" si="7"/>
        <v>2737.05</v>
      </c>
      <c r="J69" s="1893">
        <v>0</v>
      </c>
      <c r="K69" s="1894">
        <v>0</v>
      </c>
      <c r="L69" s="1895"/>
      <c r="M69" s="1896">
        <f t="shared" si="31"/>
        <v>0</v>
      </c>
      <c r="N69" s="1897">
        <f t="shared" si="8"/>
        <v>0</v>
      </c>
      <c r="O69" s="1898">
        <f t="shared" si="32"/>
        <v>0</v>
      </c>
      <c r="P69" s="1899">
        <f t="shared" si="33"/>
        <v>0</v>
      </c>
      <c r="Q69" s="1719">
        <f t="shared" si="3"/>
        <v>105.8</v>
      </c>
      <c r="R69" s="1900">
        <f t="shared" si="34"/>
        <v>2737.05</v>
      </c>
      <c r="S69" s="1901">
        <f t="shared" si="35"/>
        <v>1</v>
      </c>
      <c r="T69" s="2263"/>
      <c r="U69" s="1423"/>
      <c r="V69" s="1423"/>
      <c r="W69" s="1423"/>
      <c r="X69" s="1434"/>
    </row>
    <row r="70" spans="1:24" s="1417" customFormat="1" ht="13.8">
      <c r="A70" s="1429"/>
      <c r="B70" s="1902" t="s">
        <v>4064</v>
      </c>
      <c r="C70" s="1903" t="s">
        <v>4065</v>
      </c>
      <c r="D70" s="1889" t="s">
        <v>38</v>
      </c>
      <c r="E70" s="1747">
        <v>8.3000000000000007</v>
      </c>
      <c r="F70" s="1747">
        <v>200.7</v>
      </c>
      <c r="G70" s="1890">
        <v>201.09</v>
      </c>
      <c r="H70" s="1891">
        <f t="shared" si="2"/>
        <v>1665.81</v>
      </c>
      <c r="I70" s="1891">
        <f t="shared" si="7"/>
        <v>1669.05</v>
      </c>
      <c r="J70" s="1893">
        <v>0</v>
      </c>
      <c r="K70" s="1894">
        <v>0</v>
      </c>
      <c r="L70" s="1895"/>
      <c r="M70" s="1896">
        <f t="shared" si="31"/>
        <v>0</v>
      </c>
      <c r="N70" s="1897">
        <f t="shared" si="8"/>
        <v>0</v>
      </c>
      <c r="O70" s="1898">
        <f t="shared" si="32"/>
        <v>0</v>
      </c>
      <c r="P70" s="1899">
        <f t="shared" si="33"/>
        <v>0</v>
      </c>
      <c r="Q70" s="1719">
        <f t="shared" si="3"/>
        <v>8.3000000000000007</v>
      </c>
      <c r="R70" s="1900">
        <f t="shared" si="34"/>
        <v>1669.05</v>
      </c>
      <c r="S70" s="1901">
        <f t="shared" si="35"/>
        <v>1</v>
      </c>
      <c r="T70" s="2263"/>
      <c r="U70" s="1423"/>
      <c r="V70" s="1423"/>
      <c r="W70" s="1423"/>
      <c r="X70" s="1434"/>
    </row>
    <row r="71" spans="1:24" s="1417" customFormat="1" ht="13.8">
      <c r="B71" s="1902" t="s">
        <v>4066</v>
      </c>
      <c r="C71" s="1903" t="s">
        <v>4067</v>
      </c>
      <c r="D71" s="1889" t="s">
        <v>38</v>
      </c>
      <c r="E71" s="1747">
        <v>32</v>
      </c>
      <c r="F71" s="1747">
        <v>140.99</v>
      </c>
      <c r="G71" s="1890">
        <v>141.38</v>
      </c>
      <c r="H71" s="1891">
        <f t="shared" si="2"/>
        <v>4511.68</v>
      </c>
      <c r="I71" s="1891">
        <f t="shared" si="7"/>
        <v>4524.16</v>
      </c>
      <c r="J71" s="1893">
        <v>0</v>
      </c>
      <c r="K71" s="1894">
        <v>0</v>
      </c>
      <c r="L71" s="1895"/>
      <c r="M71" s="1896">
        <f t="shared" si="31"/>
        <v>0</v>
      </c>
      <c r="N71" s="1897">
        <f t="shared" si="8"/>
        <v>0</v>
      </c>
      <c r="O71" s="1898">
        <f t="shared" si="32"/>
        <v>0</v>
      </c>
      <c r="P71" s="1899">
        <f t="shared" si="33"/>
        <v>0</v>
      </c>
      <c r="Q71" s="1719">
        <f t="shared" si="3"/>
        <v>32</v>
      </c>
      <c r="R71" s="1900">
        <f t="shared" si="34"/>
        <v>4524.16</v>
      </c>
      <c r="S71" s="1901">
        <f t="shared" si="35"/>
        <v>1</v>
      </c>
      <c r="T71" s="2263"/>
      <c r="U71" s="1423"/>
      <c r="V71" s="1423"/>
      <c r="W71" s="1423"/>
      <c r="X71" s="1434"/>
    </row>
    <row r="72" spans="1:24" s="1417" customFormat="1" ht="13.8">
      <c r="A72" s="1416"/>
      <c r="B72" s="1902" t="s">
        <v>4068</v>
      </c>
      <c r="C72" s="1903" t="s">
        <v>4069</v>
      </c>
      <c r="D72" s="1889" t="s">
        <v>38</v>
      </c>
      <c r="E72" s="1747">
        <v>9.8000000000000007</v>
      </c>
      <c r="F72" s="1747">
        <v>57.33</v>
      </c>
      <c r="G72" s="1890">
        <v>57.97</v>
      </c>
      <c r="H72" s="1891">
        <f t="shared" si="2"/>
        <v>561.83400000000006</v>
      </c>
      <c r="I72" s="1891">
        <f t="shared" si="7"/>
        <v>568.11</v>
      </c>
      <c r="J72" s="1893">
        <v>0</v>
      </c>
      <c r="K72" s="1894">
        <v>0</v>
      </c>
      <c r="L72" s="1895"/>
      <c r="M72" s="1896">
        <f t="shared" si="31"/>
        <v>0</v>
      </c>
      <c r="N72" s="1897">
        <f t="shared" si="8"/>
        <v>0</v>
      </c>
      <c r="O72" s="1898">
        <f t="shared" si="32"/>
        <v>0</v>
      </c>
      <c r="P72" s="1899">
        <f t="shared" si="33"/>
        <v>0</v>
      </c>
      <c r="Q72" s="1719">
        <f t="shared" si="3"/>
        <v>9.8000000000000007</v>
      </c>
      <c r="R72" s="1900">
        <f t="shared" si="34"/>
        <v>568.11</v>
      </c>
      <c r="S72" s="1901">
        <f t="shared" si="35"/>
        <v>1</v>
      </c>
      <c r="T72" s="2263"/>
      <c r="U72" s="1423"/>
      <c r="V72" s="1423"/>
      <c r="W72" s="1423"/>
      <c r="X72" s="1434"/>
    </row>
    <row r="73" spans="1:24" s="1417" customFormat="1" ht="13.8">
      <c r="A73" s="1429"/>
      <c r="B73" s="1902" t="s">
        <v>4070</v>
      </c>
      <c r="C73" s="1903" t="s">
        <v>4027</v>
      </c>
      <c r="D73" s="1889" t="s">
        <v>37</v>
      </c>
      <c r="E73" s="1747">
        <v>89.24</v>
      </c>
      <c r="F73" s="1747">
        <v>400.34</v>
      </c>
      <c r="G73" s="1890">
        <v>403.4</v>
      </c>
      <c r="H73" s="1891">
        <f t="shared" si="2"/>
        <v>35726.341599999992</v>
      </c>
      <c r="I73" s="1891">
        <f t="shared" si="7"/>
        <v>35999.42</v>
      </c>
      <c r="J73" s="1893">
        <v>0</v>
      </c>
      <c r="K73" s="1894">
        <v>0</v>
      </c>
      <c r="L73" s="1895"/>
      <c r="M73" s="1896">
        <f t="shared" si="31"/>
        <v>0</v>
      </c>
      <c r="N73" s="1897">
        <f t="shared" si="8"/>
        <v>0</v>
      </c>
      <c r="O73" s="1898">
        <f t="shared" si="32"/>
        <v>0</v>
      </c>
      <c r="P73" s="1899">
        <f t="shared" si="33"/>
        <v>0</v>
      </c>
      <c r="Q73" s="1719">
        <f t="shared" si="3"/>
        <v>89.24</v>
      </c>
      <c r="R73" s="1900">
        <f t="shared" si="34"/>
        <v>35999.42</v>
      </c>
      <c r="S73" s="1901">
        <f t="shared" si="35"/>
        <v>1</v>
      </c>
      <c r="T73" s="2263"/>
      <c r="U73" s="1423"/>
      <c r="V73" s="1423"/>
      <c r="W73" s="1423"/>
      <c r="X73" s="1434"/>
    </row>
    <row r="74" spans="1:24" s="1417" customFormat="1" ht="13.8">
      <c r="B74" s="2303" t="s">
        <v>4071</v>
      </c>
      <c r="C74" s="2304" t="s">
        <v>4029</v>
      </c>
      <c r="D74" s="1889"/>
      <c r="E74" s="1747"/>
      <c r="F74" s="1747"/>
      <c r="G74" s="1890"/>
      <c r="H74" s="1891"/>
      <c r="I74" s="1891">
        <f t="shared" si="7"/>
        <v>0</v>
      </c>
      <c r="J74" s="1893"/>
      <c r="K74" s="1894"/>
      <c r="L74" s="1895"/>
      <c r="M74" s="1896"/>
      <c r="N74" s="1897"/>
      <c r="O74" s="1898"/>
      <c r="P74" s="1899"/>
      <c r="Q74" s="1719"/>
      <c r="R74" s="1900"/>
      <c r="S74" s="1901" t="str">
        <f t="shared" si="6"/>
        <v/>
      </c>
      <c r="T74" s="2263"/>
      <c r="U74" s="1423"/>
      <c r="V74" s="1423"/>
      <c r="W74" s="1423"/>
      <c r="X74" s="1434"/>
    </row>
    <row r="75" spans="1:24" s="1417" customFormat="1" ht="13.8">
      <c r="A75" s="1416"/>
      <c r="B75" s="1902" t="s">
        <v>4072</v>
      </c>
      <c r="C75" s="1903" t="s">
        <v>4073</v>
      </c>
      <c r="D75" s="1889" t="s">
        <v>36</v>
      </c>
      <c r="E75" s="1747">
        <v>14</v>
      </c>
      <c r="F75" s="1747">
        <v>376.15</v>
      </c>
      <c r="G75" s="1890">
        <v>391.46</v>
      </c>
      <c r="H75" s="1891">
        <f t="shared" si="2"/>
        <v>5266.0999999999995</v>
      </c>
      <c r="I75" s="1891">
        <f t="shared" si="7"/>
        <v>5480.44</v>
      </c>
      <c r="J75" s="1893">
        <v>0</v>
      </c>
      <c r="K75" s="1894">
        <v>0</v>
      </c>
      <c r="L75" s="1895"/>
      <c r="M75" s="1896">
        <f t="shared" ref="M75" si="36">L75*G75</f>
        <v>0</v>
      </c>
      <c r="N75" s="1897">
        <f t="shared" si="8"/>
        <v>0</v>
      </c>
      <c r="O75" s="1898">
        <f>N75*G75</f>
        <v>0</v>
      </c>
      <c r="P75" s="1899">
        <f>+IF(D75=0,"",O75/I75)</f>
        <v>0</v>
      </c>
      <c r="Q75" s="1719">
        <f t="shared" si="3"/>
        <v>14</v>
      </c>
      <c r="R75" s="1900">
        <f>ROUND((Q75*G75),2)</f>
        <v>5480.44</v>
      </c>
      <c r="S75" s="1901">
        <f>+IF(I75=0,"",R75/I75)</f>
        <v>1</v>
      </c>
      <c r="T75" s="2263"/>
      <c r="U75" s="1423"/>
      <c r="V75" s="1423"/>
      <c r="W75" s="1423"/>
      <c r="X75" s="1434"/>
    </row>
    <row r="76" spans="1:24" s="1417" customFormat="1" ht="13.8">
      <c r="A76" s="1429"/>
      <c r="B76" s="2305" t="s">
        <v>4074</v>
      </c>
      <c r="C76" s="2306" t="s">
        <v>4075</v>
      </c>
      <c r="D76" s="1889"/>
      <c r="E76" s="1747"/>
      <c r="F76" s="1747"/>
      <c r="G76" s="1890"/>
      <c r="H76" s="1891"/>
      <c r="I76" s="1891">
        <f t="shared" si="7"/>
        <v>0</v>
      </c>
      <c r="J76" s="1893"/>
      <c r="K76" s="1894"/>
      <c r="L76" s="1895"/>
      <c r="M76" s="1896"/>
      <c r="N76" s="1897"/>
      <c r="O76" s="1898"/>
      <c r="P76" s="1899"/>
      <c r="Q76" s="1719"/>
      <c r="R76" s="1900"/>
      <c r="S76" s="1901" t="str">
        <f t="shared" si="6"/>
        <v/>
      </c>
      <c r="T76" s="2263"/>
      <c r="U76" s="1423"/>
      <c r="V76" s="1423"/>
      <c r="W76" s="1423"/>
      <c r="X76" s="1434"/>
    </row>
    <row r="77" spans="1:24" s="1417" customFormat="1" ht="13.8">
      <c r="B77" s="1902" t="s">
        <v>4076</v>
      </c>
      <c r="C77" s="1903" t="s">
        <v>4077</v>
      </c>
      <c r="D77" s="1889" t="s">
        <v>36</v>
      </c>
      <c r="E77" s="1747">
        <v>6</v>
      </c>
      <c r="F77" s="1747">
        <v>220.51</v>
      </c>
      <c r="G77" s="1890">
        <v>225.62</v>
      </c>
      <c r="H77" s="1891">
        <f t="shared" si="2"/>
        <v>1323.06</v>
      </c>
      <c r="I77" s="1891">
        <f t="shared" si="7"/>
        <v>1353.72</v>
      </c>
      <c r="J77" s="1893">
        <v>0</v>
      </c>
      <c r="K77" s="1894">
        <v>0</v>
      </c>
      <c r="L77" s="1895"/>
      <c r="M77" s="1896">
        <f t="shared" ref="M77:M92" si="37">L77*G77</f>
        <v>0</v>
      </c>
      <c r="N77" s="1897">
        <f t="shared" si="8"/>
        <v>0</v>
      </c>
      <c r="O77" s="1898">
        <f t="shared" ref="O77:O92" si="38">N77*G77</f>
        <v>0</v>
      </c>
      <c r="P77" s="1899">
        <f t="shared" ref="P77:P92" si="39">+IF(D77=0,"",O77/I77)</f>
        <v>0</v>
      </c>
      <c r="Q77" s="1719">
        <f t="shared" si="3"/>
        <v>6</v>
      </c>
      <c r="R77" s="1900">
        <f t="shared" ref="R77:R92" si="40">ROUND((Q77*G77),2)</f>
        <v>1353.72</v>
      </c>
      <c r="S77" s="1901">
        <f t="shared" ref="S77:S92" si="41">+IF(I77=0,"",R77/I77)</f>
        <v>1</v>
      </c>
      <c r="T77" s="2263"/>
      <c r="U77" s="1423"/>
      <c r="V77" s="1423"/>
      <c r="W77" s="1423"/>
      <c r="X77" s="1434"/>
    </row>
    <row r="78" spans="1:24" s="1417" customFormat="1" ht="13.8">
      <c r="A78" s="1429"/>
      <c r="B78" s="1902" t="s">
        <v>4078</v>
      </c>
      <c r="C78" s="1903" t="s">
        <v>4079</v>
      </c>
      <c r="D78" s="1889" t="s">
        <v>36</v>
      </c>
      <c r="E78" s="1747">
        <v>3</v>
      </c>
      <c r="F78" s="1747">
        <v>200.68</v>
      </c>
      <c r="G78" s="1890">
        <v>205.79</v>
      </c>
      <c r="H78" s="1891">
        <f t="shared" si="2"/>
        <v>602.04</v>
      </c>
      <c r="I78" s="1891">
        <f t="shared" si="7"/>
        <v>617.37</v>
      </c>
      <c r="J78" s="1893">
        <v>0</v>
      </c>
      <c r="K78" s="1894">
        <v>0</v>
      </c>
      <c r="L78" s="1895"/>
      <c r="M78" s="1896">
        <f t="shared" si="37"/>
        <v>0</v>
      </c>
      <c r="N78" s="1897">
        <f t="shared" si="8"/>
        <v>0</v>
      </c>
      <c r="O78" s="1898">
        <f t="shared" si="38"/>
        <v>0</v>
      </c>
      <c r="P78" s="1899">
        <f t="shared" si="39"/>
        <v>0</v>
      </c>
      <c r="Q78" s="1719">
        <f t="shared" si="3"/>
        <v>3</v>
      </c>
      <c r="R78" s="1900">
        <f t="shared" si="40"/>
        <v>617.37</v>
      </c>
      <c r="S78" s="1901">
        <f t="shared" si="41"/>
        <v>1</v>
      </c>
      <c r="T78" s="2263"/>
      <c r="U78" s="1423"/>
      <c r="V78" s="1423"/>
      <c r="W78" s="1423"/>
      <c r="X78" s="1434"/>
    </row>
    <row r="79" spans="1:24" s="1417" customFormat="1" ht="13.8">
      <c r="A79" s="1429"/>
      <c r="B79" s="1902" t="s">
        <v>4080</v>
      </c>
      <c r="C79" s="1903" t="s">
        <v>4081</v>
      </c>
      <c r="D79" s="1889" t="s">
        <v>36</v>
      </c>
      <c r="E79" s="1747">
        <v>6</v>
      </c>
      <c r="F79" s="1747">
        <v>1810.31</v>
      </c>
      <c r="G79" s="1890">
        <v>1815.42</v>
      </c>
      <c r="H79" s="1891">
        <f t="shared" si="2"/>
        <v>10861.86</v>
      </c>
      <c r="I79" s="1891">
        <f t="shared" si="7"/>
        <v>10892.52</v>
      </c>
      <c r="J79" s="1893">
        <v>0</v>
      </c>
      <c r="K79" s="1894">
        <v>0</v>
      </c>
      <c r="L79" s="1895"/>
      <c r="M79" s="1896">
        <f t="shared" si="37"/>
        <v>0</v>
      </c>
      <c r="N79" s="1897">
        <f t="shared" si="8"/>
        <v>0</v>
      </c>
      <c r="O79" s="1898">
        <f t="shared" si="38"/>
        <v>0</v>
      </c>
      <c r="P79" s="1899">
        <f t="shared" si="39"/>
        <v>0</v>
      </c>
      <c r="Q79" s="1719">
        <f t="shared" si="3"/>
        <v>6</v>
      </c>
      <c r="R79" s="1900">
        <f t="shared" si="40"/>
        <v>10892.52</v>
      </c>
      <c r="S79" s="1901">
        <f t="shared" si="41"/>
        <v>1</v>
      </c>
      <c r="T79" s="2263"/>
      <c r="U79" s="1423"/>
      <c r="V79" s="1423"/>
      <c r="W79" s="1423"/>
      <c r="X79" s="1434"/>
    </row>
    <row r="80" spans="1:24" s="1417" customFormat="1" ht="13.8">
      <c r="B80" s="1902" t="s">
        <v>4082</v>
      </c>
      <c r="C80" s="1903" t="s">
        <v>4083</v>
      </c>
      <c r="D80" s="1889" t="s">
        <v>36</v>
      </c>
      <c r="E80" s="1747">
        <v>3</v>
      </c>
      <c r="F80" s="1747">
        <v>1648.06</v>
      </c>
      <c r="G80" s="1890">
        <v>1653.17</v>
      </c>
      <c r="H80" s="1891">
        <f t="shared" si="2"/>
        <v>4944.18</v>
      </c>
      <c r="I80" s="1891">
        <f t="shared" si="7"/>
        <v>4959.51</v>
      </c>
      <c r="J80" s="1893">
        <v>0</v>
      </c>
      <c r="K80" s="1894">
        <v>0</v>
      </c>
      <c r="L80" s="1895"/>
      <c r="M80" s="1896">
        <f t="shared" si="37"/>
        <v>0</v>
      </c>
      <c r="N80" s="1897">
        <f t="shared" si="8"/>
        <v>0</v>
      </c>
      <c r="O80" s="1898">
        <f t="shared" si="38"/>
        <v>0</v>
      </c>
      <c r="P80" s="1899">
        <f t="shared" si="39"/>
        <v>0</v>
      </c>
      <c r="Q80" s="1719">
        <f t="shared" si="3"/>
        <v>3</v>
      </c>
      <c r="R80" s="1900">
        <f t="shared" si="40"/>
        <v>4959.51</v>
      </c>
      <c r="S80" s="1901">
        <f t="shared" si="41"/>
        <v>1</v>
      </c>
      <c r="T80" s="2263"/>
      <c r="U80" s="1423"/>
      <c r="V80" s="1423"/>
      <c r="W80" s="1423"/>
      <c r="X80" s="1434"/>
    </row>
    <row r="81" spans="1:24" s="1417" customFormat="1" ht="13.8">
      <c r="A81" s="1416"/>
      <c r="B81" s="1902" t="s">
        <v>4084</v>
      </c>
      <c r="C81" s="1903" t="s">
        <v>4085</v>
      </c>
      <c r="D81" s="1889" t="s">
        <v>38</v>
      </c>
      <c r="E81" s="1747">
        <v>30.3</v>
      </c>
      <c r="F81" s="1747">
        <v>224.5</v>
      </c>
      <c r="G81" s="1890">
        <v>225.35</v>
      </c>
      <c r="H81" s="1891">
        <f t="shared" si="2"/>
        <v>6802.35</v>
      </c>
      <c r="I81" s="1891">
        <f t="shared" si="7"/>
        <v>6828.11</v>
      </c>
      <c r="J81" s="1893">
        <v>0</v>
      </c>
      <c r="K81" s="1894">
        <v>0</v>
      </c>
      <c r="L81" s="1895"/>
      <c r="M81" s="1896">
        <f t="shared" si="37"/>
        <v>0</v>
      </c>
      <c r="N81" s="1897">
        <f t="shared" si="8"/>
        <v>0</v>
      </c>
      <c r="O81" s="1898">
        <f t="shared" si="38"/>
        <v>0</v>
      </c>
      <c r="P81" s="1899">
        <f t="shared" si="39"/>
        <v>0</v>
      </c>
      <c r="Q81" s="1719">
        <f t="shared" si="3"/>
        <v>30.3</v>
      </c>
      <c r="R81" s="1900">
        <f t="shared" si="40"/>
        <v>6828.11</v>
      </c>
      <c r="S81" s="1901">
        <f t="shared" si="41"/>
        <v>1</v>
      </c>
      <c r="T81" s="2263"/>
      <c r="U81" s="1423"/>
      <c r="V81" s="1423"/>
      <c r="W81" s="1423"/>
      <c r="X81" s="1434"/>
    </row>
    <row r="82" spans="1:24" s="1417" customFormat="1" ht="13.8">
      <c r="A82" s="1429"/>
      <c r="B82" s="1902" t="s">
        <v>4086</v>
      </c>
      <c r="C82" s="1903" t="s">
        <v>4087</v>
      </c>
      <c r="D82" s="1889" t="s">
        <v>38</v>
      </c>
      <c r="E82" s="1747">
        <v>60</v>
      </c>
      <c r="F82" s="1747">
        <v>129.07</v>
      </c>
      <c r="G82" s="1890">
        <v>129.91999999999999</v>
      </c>
      <c r="H82" s="1891">
        <f t="shared" ref="H82:H92" si="42">+E82*F82</f>
        <v>7744.2</v>
      </c>
      <c r="I82" s="1891">
        <f t="shared" si="7"/>
        <v>7795.2</v>
      </c>
      <c r="J82" s="1893">
        <v>0</v>
      </c>
      <c r="K82" s="1894">
        <v>0</v>
      </c>
      <c r="L82" s="1895"/>
      <c r="M82" s="1896">
        <f t="shared" si="37"/>
        <v>0</v>
      </c>
      <c r="N82" s="1897">
        <f t="shared" si="8"/>
        <v>0</v>
      </c>
      <c r="O82" s="1898">
        <f t="shared" si="38"/>
        <v>0</v>
      </c>
      <c r="P82" s="1899">
        <f t="shared" si="39"/>
        <v>0</v>
      </c>
      <c r="Q82" s="1719">
        <f t="shared" ref="Q82:Q92" si="43">E82-N82</f>
        <v>60</v>
      </c>
      <c r="R82" s="1900">
        <f t="shared" si="40"/>
        <v>7795.2</v>
      </c>
      <c r="S82" s="1901">
        <f t="shared" si="41"/>
        <v>1</v>
      </c>
      <c r="T82" s="2263"/>
      <c r="U82" s="1423"/>
      <c r="V82" s="1423"/>
      <c r="W82" s="1423"/>
      <c r="X82" s="1434"/>
    </row>
    <row r="83" spans="1:24" s="1417" customFormat="1" ht="13.8">
      <c r="B83" s="1902" t="s">
        <v>4088</v>
      </c>
      <c r="C83" s="1903" t="s">
        <v>4089</v>
      </c>
      <c r="D83" s="1889" t="s">
        <v>37</v>
      </c>
      <c r="E83" s="1747">
        <v>121.23</v>
      </c>
      <c r="F83" s="1747">
        <v>446.49</v>
      </c>
      <c r="G83" s="1890">
        <v>461.8</v>
      </c>
      <c r="H83" s="1891">
        <f t="shared" si="42"/>
        <v>54127.9827</v>
      </c>
      <c r="I83" s="1891">
        <f t="shared" si="7"/>
        <v>55984.01</v>
      </c>
      <c r="J83" s="1893">
        <v>0</v>
      </c>
      <c r="K83" s="1894">
        <v>0</v>
      </c>
      <c r="L83" s="1895"/>
      <c r="M83" s="1896">
        <f t="shared" si="37"/>
        <v>0</v>
      </c>
      <c r="N83" s="1897">
        <f t="shared" si="8"/>
        <v>0</v>
      </c>
      <c r="O83" s="1898">
        <f t="shared" si="38"/>
        <v>0</v>
      </c>
      <c r="P83" s="1899">
        <f t="shared" si="39"/>
        <v>0</v>
      </c>
      <c r="Q83" s="1719">
        <f t="shared" si="43"/>
        <v>121.23</v>
      </c>
      <c r="R83" s="1900">
        <f t="shared" si="40"/>
        <v>55984.01</v>
      </c>
      <c r="S83" s="1901">
        <f t="shared" si="41"/>
        <v>1</v>
      </c>
      <c r="T83" s="2263"/>
      <c r="U83" s="1423"/>
      <c r="V83" s="1423"/>
      <c r="W83" s="1423"/>
      <c r="X83" s="1434"/>
    </row>
    <row r="84" spans="1:24" s="1417" customFormat="1" ht="13.8">
      <c r="A84" s="1416"/>
      <c r="B84" s="1902" t="s">
        <v>4090</v>
      </c>
      <c r="C84" s="1903" t="s">
        <v>4011</v>
      </c>
      <c r="D84" s="1889" t="s">
        <v>36</v>
      </c>
      <c r="E84" s="1747">
        <v>1</v>
      </c>
      <c r="F84" s="1747">
        <v>2482.39</v>
      </c>
      <c r="G84" s="1890">
        <v>2497.6999999999998</v>
      </c>
      <c r="H84" s="1891">
        <f t="shared" si="42"/>
        <v>2482.39</v>
      </c>
      <c r="I84" s="1891">
        <f t="shared" si="7"/>
        <v>2497.6999999999998</v>
      </c>
      <c r="J84" s="1893">
        <v>0</v>
      </c>
      <c r="K84" s="1894">
        <v>0</v>
      </c>
      <c r="L84" s="1895"/>
      <c r="M84" s="1896">
        <f t="shared" si="37"/>
        <v>0</v>
      </c>
      <c r="N84" s="1897">
        <f t="shared" si="8"/>
        <v>0</v>
      </c>
      <c r="O84" s="1898">
        <f t="shared" si="38"/>
        <v>0</v>
      </c>
      <c r="P84" s="1899">
        <f t="shared" si="39"/>
        <v>0</v>
      </c>
      <c r="Q84" s="1719">
        <f t="shared" si="43"/>
        <v>1</v>
      </c>
      <c r="R84" s="1900">
        <f t="shared" si="40"/>
        <v>2497.6999999999998</v>
      </c>
      <c r="S84" s="1901">
        <f t="shared" si="41"/>
        <v>1</v>
      </c>
      <c r="T84" s="2263"/>
      <c r="U84" s="1423"/>
      <c r="V84" s="1423"/>
      <c r="W84" s="1423"/>
      <c r="X84" s="1434"/>
    </row>
    <row r="85" spans="1:24" s="1417" customFormat="1" ht="13.8">
      <c r="A85" s="1429"/>
      <c r="B85" s="1902" t="s">
        <v>4091</v>
      </c>
      <c r="C85" s="1903" t="s">
        <v>4013</v>
      </c>
      <c r="D85" s="1889" t="s">
        <v>36</v>
      </c>
      <c r="E85" s="1747">
        <v>2</v>
      </c>
      <c r="F85" s="1747">
        <v>2523.63</v>
      </c>
      <c r="G85" s="1890">
        <v>2538.94</v>
      </c>
      <c r="H85" s="1891">
        <f t="shared" si="42"/>
        <v>5047.26</v>
      </c>
      <c r="I85" s="1891">
        <f t="shared" ref="I85:I148" si="44">ROUND(E85*G85,2)</f>
        <v>5077.88</v>
      </c>
      <c r="J85" s="1893">
        <v>0</v>
      </c>
      <c r="K85" s="1894">
        <v>0</v>
      </c>
      <c r="L85" s="1895"/>
      <c r="M85" s="1896">
        <f t="shared" si="37"/>
        <v>0</v>
      </c>
      <c r="N85" s="1897">
        <f t="shared" ref="N85:N92" si="45">J85+L85</f>
        <v>0</v>
      </c>
      <c r="O85" s="1898">
        <f t="shared" si="38"/>
        <v>0</v>
      </c>
      <c r="P85" s="1899">
        <f t="shared" si="39"/>
        <v>0</v>
      </c>
      <c r="Q85" s="1719">
        <f t="shared" si="43"/>
        <v>2</v>
      </c>
      <c r="R85" s="1900">
        <f t="shared" si="40"/>
        <v>5077.88</v>
      </c>
      <c r="S85" s="1901">
        <f t="shared" si="41"/>
        <v>1</v>
      </c>
      <c r="T85" s="2263"/>
      <c r="U85" s="1423"/>
      <c r="V85" s="1423"/>
      <c r="W85" s="1423"/>
      <c r="X85" s="1434"/>
    </row>
    <row r="86" spans="1:24" s="1417" customFormat="1" ht="13.8">
      <c r="B86" s="1902" t="s">
        <v>4092</v>
      </c>
      <c r="C86" s="1903" t="s">
        <v>4015</v>
      </c>
      <c r="D86" s="1889" t="s">
        <v>36</v>
      </c>
      <c r="E86" s="1747">
        <v>1</v>
      </c>
      <c r="F86" s="1747">
        <v>2523.63</v>
      </c>
      <c r="G86" s="1890">
        <v>2538.94</v>
      </c>
      <c r="H86" s="1891">
        <f t="shared" si="42"/>
        <v>2523.63</v>
      </c>
      <c r="I86" s="1891">
        <f t="shared" si="44"/>
        <v>2538.94</v>
      </c>
      <c r="J86" s="1893">
        <v>0</v>
      </c>
      <c r="K86" s="1894">
        <v>0</v>
      </c>
      <c r="L86" s="1895"/>
      <c r="M86" s="1896">
        <f t="shared" si="37"/>
        <v>0</v>
      </c>
      <c r="N86" s="1897">
        <f t="shared" si="45"/>
        <v>0</v>
      </c>
      <c r="O86" s="1898">
        <f t="shared" si="38"/>
        <v>0</v>
      </c>
      <c r="P86" s="1899">
        <f t="shared" si="39"/>
        <v>0</v>
      </c>
      <c r="Q86" s="1719">
        <f t="shared" si="43"/>
        <v>1</v>
      </c>
      <c r="R86" s="1900">
        <f t="shared" si="40"/>
        <v>2538.94</v>
      </c>
      <c r="S86" s="1901">
        <f t="shared" si="41"/>
        <v>1</v>
      </c>
      <c r="T86" s="2263"/>
      <c r="U86" s="1423"/>
      <c r="V86" s="1423"/>
      <c r="W86" s="1423"/>
      <c r="X86" s="1434"/>
    </row>
    <row r="87" spans="1:24" s="1417" customFormat="1" ht="13.8">
      <c r="A87" s="1429"/>
      <c r="B87" s="1902" t="s">
        <v>4093</v>
      </c>
      <c r="C87" s="1903" t="s">
        <v>4094</v>
      </c>
      <c r="D87" s="1889" t="s">
        <v>38</v>
      </c>
      <c r="E87" s="1747">
        <v>59</v>
      </c>
      <c r="F87" s="1747">
        <v>55.59</v>
      </c>
      <c r="G87" s="1890">
        <v>56.19</v>
      </c>
      <c r="H87" s="1891">
        <f t="shared" si="42"/>
        <v>3279.8100000000004</v>
      </c>
      <c r="I87" s="1891">
        <f t="shared" si="44"/>
        <v>3315.21</v>
      </c>
      <c r="J87" s="1893">
        <v>0</v>
      </c>
      <c r="K87" s="1894">
        <v>0</v>
      </c>
      <c r="L87" s="1895"/>
      <c r="M87" s="1896">
        <f t="shared" si="37"/>
        <v>0</v>
      </c>
      <c r="N87" s="1897">
        <f t="shared" si="45"/>
        <v>0</v>
      </c>
      <c r="O87" s="1898">
        <f t="shared" si="38"/>
        <v>0</v>
      </c>
      <c r="P87" s="1899">
        <f t="shared" si="39"/>
        <v>0</v>
      </c>
      <c r="Q87" s="1719">
        <f t="shared" si="43"/>
        <v>59</v>
      </c>
      <c r="R87" s="1900">
        <f t="shared" si="40"/>
        <v>3315.21</v>
      </c>
      <c r="S87" s="1901">
        <f t="shared" si="41"/>
        <v>1</v>
      </c>
      <c r="T87" s="2263"/>
      <c r="U87" s="1423"/>
      <c r="V87" s="1423"/>
      <c r="W87" s="1423"/>
      <c r="X87" s="1434"/>
    </row>
    <row r="88" spans="1:24" s="1417" customFormat="1" ht="13.8">
      <c r="A88" s="1429"/>
      <c r="B88" s="1902" t="s">
        <v>4095</v>
      </c>
      <c r="C88" s="1903" t="s">
        <v>4096</v>
      </c>
      <c r="D88" s="1889" t="s">
        <v>38</v>
      </c>
      <c r="E88" s="1747">
        <v>154</v>
      </c>
      <c r="F88" s="1747">
        <v>25.25</v>
      </c>
      <c r="G88" s="1890">
        <v>25.75</v>
      </c>
      <c r="H88" s="1891">
        <f t="shared" si="42"/>
        <v>3888.5</v>
      </c>
      <c r="I88" s="1891">
        <f t="shared" si="44"/>
        <v>3965.5</v>
      </c>
      <c r="J88" s="1893">
        <v>0</v>
      </c>
      <c r="K88" s="1894">
        <v>0</v>
      </c>
      <c r="L88" s="1895"/>
      <c r="M88" s="1896">
        <f t="shared" si="37"/>
        <v>0</v>
      </c>
      <c r="N88" s="1897">
        <f t="shared" si="45"/>
        <v>0</v>
      </c>
      <c r="O88" s="1898">
        <f t="shared" si="38"/>
        <v>0</v>
      </c>
      <c r="P88" s="1899">
        <f t="shared" si="39"/>
        <v>0</v>
      </c>
      <c r="Q88" s="1719">
        <f t="shared" si="43"/>
        <v>154</v>
      </c>
      <c r="R88" s="1900">
        <f t="shared" si="40"/>
        <v>3965.5</v>
      </c>
      <c r="S88" s="1901">
        <f t="shared" si="41"/>
        <v>1</v>
      </c>
      <c r="T88" s="2263"/>
      <c r="U88" s="1423"/>
      <c r="V88" s="1423"/>
      <c r="W88" s="1423"/>
      <c r="X88" s="1434"/>
    </row>
    <row r="89" spans="1:24" s="1417" customFormat="1" ht="13.8">
      <c r="B89" s="1902" t="s">
        <v>4097</v>
      </c>
      <c r="C89" s="1903" t="s">
        <v>4098</v>
      </c>
      <c r="D89" s="1889" t="s">
        <v>38</v>
      </c>
      <c r="E89" s="1747">
        <v>9.24</v>
      </c>
      <c r="F89" s="1747">
        <v>221.97</v>
      </c>
      <c r="G89" s="1890">
        <v>222.36</v>
      </c>
      <c r="H89" s="1891">
        <f t="shared" si="42"/>
        <v>2051.0028000000002</v>
      </c>
      <c r="I89" s="1891">
        <f t="shared" si="44"/>
        <v>2054.61</v>
      </c>
      <c r="J89" s="1893">
        <v>0</v>
      </c>
      <c r="K89" s="1894">
        <v>0</v>
      </c>
      <c r="L89" s="1895"/>
      <c r="M89" s="1896">
        <f t="shared" si="37"/>
        <v>0</v>
      </c>
      <c r="N89" s="1897">
        <f t="shared" si="45"/>
        <v>0</v>
      </c>
      <c r="O89" s="1898">
        <f t="shared" si="38"/>
        <v>0</v>
      </c>
      <c r="P89" s="1899">
        <f t="shared" si="39"/>
        <v>0</v>
      </c>
      <c r="Q89" s="1719">
        <f t="shared" si="43"/>
        <v>9.24</v>
      </c>
      <c r="R89" s="1900">
        <f t="shared" si="40"/>
        <v>2054.61</v>
      </c>
      <c r="S89" s="1901">
        <f t="shared" si="41"/>
        <v>1</v>
      </c>
      <c r="T89" s="2263"/>
      <c r="U89" s="1423"/>
      <c r="V89" s="1423"/>
      <c r="W89" s="1423"/>
      <c r="X89" s="1434"/>
    </row>
    <row r="90" spans="1:24" s="1417" customFormat="1" ht="13.8">
      <c r="A90" s="1416"/>
      <c r="B90" s="1902" t="s">
        <v>4099</v>
      </c>
      <c r="C90" s="1903" t="s">
        <v>4100</v>
      </c>
      <c r="D90" s="1889" t="s">
        <v>38</v>
      </c>
      <c r="E90" s="1747">
        <v>20</v>
      </c>
      <c r="F90" s="1747">
        <v>91.81</v>
      </c>
      <c r="G90" s="1890">
        <v>92.2</v>
      </c>
      <c r="H90" s="1891">
        <f t="shared" si="42"/>
        <v>1836.2</v>
      </c>
      <c r="I90" s="1891">
        <f t="shared" si="44"/>
        <v>1844</v>
      </c>
      <c r="J90" s="1893">
        <v>0</v>
      </c>
      <c r="K90" s="1894">
        <v>0</v>
      </c>
      <c r="L90" s="1895"/>
      <c r="M90" s="1896">
        <f t="shared" si="37"/>
        <v>0</v>
      </c>
      <c r="N90" s="1897">
        <f t="shared" si="45"/>
        <v>0</v>
      </c>
      <c r="O90" s="1898">
        <f t="shared" si="38"/>
        <v>0</v>
      </c>
      <c r="P90" s="1899">
        <f t="shared" si="39"/>
        <v>0</v>
      </c>
      <c r="Q90" s="1719">
        <f t="shared" si="43"/>
        <v>20</v>
      </c>
      <c r="R90" s="1900">
        <f t="shared" si="40"/>
        <v>1844</v>
      </c>
      <c r="S90" s="1901">
        <f t="shared" si="41"/>
        <v>1</v>
      </c>
      <c r="T90" s="2263"/>
      <c r="U90" s="1423"/>
      <c r="V90" s="1423"/>
      <c r="W90" s="1423"/>
      <c r="X90" s="1434"/>
    </row>
    <row r="91" spans="1:24" s="1417" customFormat="1" ht="13.8">
      <c r="A91" s="1429"/>
      <c r="B91" s="1902" t="s">
        <v>4101</v>
      </c>
      <c r="C91" s="1903" t="s">
        <v>4102</v>
      </c>
      <c r="D91" s="1889" t="s">
        <v>38</v>
      </c>
      <c r="E91" s="1747">
        <v>20</v>
      </c>
      <c r="F91" s="1747">
        <v>52.97</v>
      </c>
      <c r="G91" s="1890">
        <v>53.61</v>
      </c>
      <c r="H91" s="1891">
        <f t="shared" si="42"/>
        <v>1059.4000000000001</v>
      </c>
      <c r="I91" s="1891">
        <f t="shared" si="44"/>
        <v>1072.2</v>
      </c>
      <c r="J91" s="1893">
        <v>0</v>
      </c>
      <c r="K91" s="1894">
        <v>0</v>
      </c>
      <c r="L91" s="1895"/>
      <c r="M91" s="1896">
        <f t="shared" si="37"/>
        <v>0</v>
      </c>
      <c r="N91" s="1897">
        <f t="shared" si="45"/>
        <v>0</v>
      </c>
      <c r="O91" s="1898">
        <f t="shared" si="38"/>
        <v>0</v>
      </c>
      <c r="P91" s="1899">
        <f t="shared" si="39"/>
        <v>0</v>
      </c>
      <c r="Q91" s="1719">
        <f t="shared" si="43"/>
        <v>20</v>
      </c>
      <c r="R91" s="1900">
        <f t="shared" si="40"/>
        <v>1072.2</v>
      </c>
      <c r="S91" s="1901">
        <f t="shared" si="41"/>
        <v>1</v>
      </c>
      <c r="T91" s="2263"/>
      <c r="U91" s="1423"/>
      <c r="V91" s="1423"/>
      <c r="W91" s="1423"/>
      <c r="X91" s="1434"/>
    </row>
    <row r="92" spans="1:24" s="1417" customFormat="1" ht="13.8">
      <c r="B92" s="1902" t="s">
        <v>4103</v>
      </c>
      <c r="C92" s="1903" t="s">
        <v>4027</v>
      </c>
      <c r="D92" s="1889" t="s">
        <v>37</v>
      </c>
      <c r="E92" s="1747">
        <v>121.23</v>
      </c>
      <c r="F92" s="1747">
        <v>390.91</v>
      </c>
      <c r="G92" s="1890">
        <v>393.69</v>
      </c>
      <c r="H92" s="1891">
        <f t="shared" si="42"/>
        <v>47390.019300000007</v>
      </c>
      <c r="I92" s="1891">
        <f t="shared" si="44"/>
        <v>47727.040000000001</v>
      </c>
      <c r="J92" s="1893">
        <v>0</v>
      </c>
      <c r="K92" s="1894">
        <v>0</v>
      </c>
      <c r="L92" s="1895"/>
      <c r="M92" s="1896">
        <f t="shared" si="37"/>
        <v>0</v>
      </c>
      <c r="N92" s="1897">
        <f t="shared" si="45"/>
        <v>0</v>
      </c>
      <c r="O92" s="1898">
        <f t="shared" si="38"/>
        <v>0</v>
      </c>
      <c r="P92" s="1899">
        <f t="shared" si="39"/>
        <v>0</v>
      </c>
      <c r="Q92" s="1719">
        <f t="shared" si="43"/>
        <v>121.23</v>
      </c>
      <c r="R92" s="1900">
        <f t="shared" si="40"/>
        <v>47727.040000000001</v>
      </c>
      <c r="S92" s="1901">
        <f t="shared" si="41"/>
        <v>1</v>
      </c>
      <c r="T92" s="2263"/>
      <c r="U92" s="1423"/>
      <c r="V92" s="1423"/>
      <c r="W92" s="1423"/>
      <c r="X92" s="1434"/>
    </row>
    <row r="93" spans="1:24" s="1417" customFormat="1" ht="13.8">
      <c r="A93" s="1416"/>
      <c r="B93" s="2303" t="s">
        <v>4104</v>
      </c>
      <c r="C93" s="2304" t="s">
        <v>4029</v>
      </c>
      <c r="D93" s="1889"/>
      <c r="E93" s="1747"/>
      <c r="F93" s="1747"/>
      <c r="G93" s="1890"/>
      <c r="H93" s="1891"/>
      <c r="I93" s="1891">
        <f t="shared" si="44"/>
        <v>0</v>
      </c>
      <c r="J93" s="1893"/>
      <c r="K93" s="1894"/>
      <c r="L93" s="1895"/>
      <c r="M93" s="1896"/>
      <c r="N93" s="1897"/>
      <c r="O93" s="1898"/>
      <c r="P93" s="1899"/>
      <c r="Q93" s="1719"/>
      <c r="R93" s="1900"/>
      <c r="S93" s="1901" t="str">
        <f t="shared" ref="S93:S145" si="46">+IF(H93=0,"",R93/H93)</f>
        <v/>
      </c>
      <c r="T93" s="2263"/>
      <c r="U93" s="1423"/>
      <c r="V93" s="1423"/>
      <c r="W93" s="1423"/>
      <c r="X93" s="1434"/>
    </row>
    <row r="94" spans="1:24" s="1417" customFormat="1" ht="13.8">
      <c r="A94" s="1429"/>
      <c r="B94" s="1902" t="s">
        <v>4105</v>
      </c>
      <c r="C94" s="1903" t="s">
        <v>4106</v>
      </c>
      <c r="D94" s="1889" t="s">
        <v>36</v>
      </c>
      <c r="E94" s="1747">
        <v>10</v>
      </c>
      <c r="F94" s="1747">
        <v>392.05</v>
      </c>
      <c r="G94" s="1890">
        <v>407.36</v>
      </c>
      <c r="H94" s="1891">
        <f t="shared" ref="H94" si="47">+E94*F94</f>
        <v>3920.5</v>
      </c>
      <c r="I94" s="1891">
        <f t="shared" si="44"/>
        <v>4073.6</v>
      </c>
      <c r="J94" s="1893">
        <v>0</v>
      </c>
      <c r="K94" s="1894">
        <v>0</v>
      </c>
      <c r="L94" s="1895"/>
      <c r="M94" s="1896">
        <f t="shared" ref="M94" si="48">L94*G94</f>
        <v>0</v>
      </c>
      <c r="N94" s="1897">
        <f t="shared" ref="N94" si="49">J94+L94</f>
        <v>0</v>
      </c>
      <c r="O94" s="1898">
        <f>N94*G94</f>
        <v>0</v>
      </c>
      <c r="P94" s="1899">
        <f>+IF(D94=0,"",O94/I94)</f>
        <v>0</v>
      </c>
      <c r="Q94" s="1719">
        <f t="shared" ref="Q94" si="50">E94-N94</f>
        <v>10</v>
      </c>
      <c r="R94" s="1900">
        <f>ROUND((Q94*G94),2)</f>
        <v>4073.6</v>
      </c>
      <c r="S94" s="1901">
        <f>+IF(I94=0,"",R94/I94)</f>
        <v>1</v>
      </c>
      <c r="T94" s="2263"/>
      <c r="U94" s="1423"/>
      <c r="V94" s="1423"/>
      <c r="W94" s="1423"/>
      <c r="X94" s="1434"/>
    </row>
    <row r="95" spans="1:24" s="1417" customFormat="1" ht="13.8">
      <c r="B95" s="2305" t="s">
        <v>4107</v>
      </c>
      <c r="C95" s="2306" t="s">
        <v>4108</v>
      </c>
      <c r="D95" s="1889"/>
      <c r="E95" s="1747"/>
      <c r="F95" s="1747"/>
      <c r="G95" s="1890"/>
      <c r="H95" s="1891"/>
      <c r="I95" s="1891">
        <f t="shared" si="44"/>
        <v>0</v>
      </c>
      <c r="J95" s="1893"/>
      <c r="K95" s="1894"/>
      <c r="L95" s="1895"/>
      <c r="M95" s="1896"/>
      <c r="N95" s="1897"/>
      <c r="O95" s="1898"/>
      <c r="P95" s="1899"/>
      <c r="Q95" s="1719"/>
      <c r="R95" s="1900"/>
      <c r="S95" s="1901" t="str">
        <f t="shared" si="46"/>
        <v/>
      </c>
      <c r="T95" s="2263"/>
      <c r="U95" s="1423"/>
      <c r="V95" s="1423"/>
      <c r="W95" s="1423"/>
      <c r="X95" s="1434"/>
    </row>
    <row r="96" spans="1:24" s="1417" customFormat="1" ht="13.8">
      <c r="A96" s="1429"/>
      <c r="B96" s="1902" t="s">
        <v>4109</v>
      </c>
      <c r="C96" s="1903" t="s">
        <v>4110</v>
      </c>
      <c r="D96" s="1889" t="s">
        <v>36</v>
      </c>
      <c r="E96" s="1747">
        <v>8</v>
      </c>
      <c r="F96" s="1747">
        <v>172.18</v>
      </c>
      <c r="G96" s="1890">
        <v>177.29</v>
      </c>
      <c r="H96" s="1891">
        <f t="shared" ref="H96:H107" si="51">+E96*F96</f>
        <v>1377.44</v>
      </c>
      <c r="I96" s="1891">
        <f t="shared" si="44"/>
        <v>1418.32</v>
      </c>
      <c r="J96" s="1893">
        <v>0</v>
      </c>
      <c r="K96" s="1894">
        <v>0</v>
      </c>
      <c r="L96" s="1895"/>
      <c r="M96" s="1896">
        <f t="shared" ref="M96:M150" si="52">L96*G96</f>
        <v>0</v>
      </c>
      <c r="N96" s="1897">
        <f t="shared" ref="N96:N107" si="53">J96+L96</f>
        <v>0</v>
      </c>
      <c r="O96" s="1898">
        <f t="shared" ref="O96:O107" si="54">N96*G96</f>
        <v>0</v>
      </c>
      <c r="P96" s="1899">
        <f t="shared" ref="P96:P107" si="55">+IF(D96=0,"",O96/I96)</f>
        <v>0</v>
      </c>
      <c r="Q96" s="1719">
        <f t="shared" ref="Q96:Q107" si="56">E96-N96</f>
        <v>8</v>
      </c>
      <c r="R96" s="1900">
        <f t="shared" ref="R96:R107" si="57">ROUND((Q96*G96),2)</f>
        <v>1418.32</v>
      </c>
      <c r="S96" s="1901">
        <f t="shared" ref="S96:S107" si="58">+IF(I96=0,"",R96/I96)</f>
        <v>1</v>
      </c>
      <c r="T96" s="2263"/>
      <c r="U96" s="1423"/>
      <c r="V96" s="1423"/>
      <c r="W96" s="1423"/>
      <c r="X96" s="1434"/>
    </row>
    <row r="97" spans="1:24" s="1417" customFormat="1" ht="13.8">
      <c r="A97" s="1429"/>
      <c r="B97" s="1902" t="s">
        <v>4111</v>
      </c>
      <c r="C97" s="1903" t="s">
        <v>4112</v>
      </c>
      <c r="D97" s="1889" t="s">
        <v>36</v>
      </c>
      <c r="E97" s="1747">
        <v>8</v>
      </c>
      <c r="F97" s="1747">
        <v>1021.3</v>
      </c>
      <c r="G97" s="1890">
        <v>1026.4100000000001</v>
      </c>
      <c r="H97" s="1891">
        <f t="shared" si="51"/>
        <v>8170.4</v>
      </c>
      <c r="I97" s="1891">
        <f t="shared" si="44"/>
        <v>8211.2800000000007</v>
      </c>
      <c r="J97" s="1893">
        <v>0</v>
      </c>
      <c r="K97" s="1894">
        <v>0</v>
      </c>
      <c r="L97" s="1895"/>
      <c r="M97" s="1896">
        <f t="shared" si="52"/>
        <v>0</v>
      </c>
      <c r="N97" s="1897">
        <f t="shared" si="53"/>
        <v>0</v>
      </c>
      <c r="O97" s="1898">
        <f t="shared" si="54"/>
        <v>0</v>
      </c>
      <c r="P97" s="1899">
        <f t="shared" si="55"/>
        <v>0</v>
      </c>
      <c r="Q97" s="1719">
        <f t="shared" si="56"/>
        <v>8</v>
      </c>
      <c r="R97" s="1900">
        <f t="shared" si="57"/>
        <v>8211.2800000000007</v>
      </c>
      <c r="S97" s="1901">
        <f t="shared" si="58"/>
        <v>1</v>
      </c>
      <c r="T97" s="2263"/>
      <c r="U97" s="1423"/>
      <c r="V97" s="1423"/>
      <c r="W97" s="1423"/>
      <c r="X97" s="1434"/>
    </row>
    <row r="98" spans="1:24" s="1417" customFormat="1" ht="13.8">
      <c r="B98" s="1902" t="s">
        <v>4113</v>
      </c>
      <c r="C98" s="1903" t="s">
        <v>4114</v>
      </c>
      <c r="D98" s="1889" t="s">
        <v>38</v>
      </c>
      <c r="E98" s="1747">
        <v>40.799999999999997</v>
      </c>
      <c r="F98" s="1747">
        <v>156.78</v>
      </c>
      <c r="G98" s="1890">
        <v>158.32</v>
      </c>
      <c r="H98" s="1891">
        <f t="shared" si="51"/>
        <v>6396.6239999999998</v>
      </c>
      <c r="I98" s="1891">
        <f t="shared" si="44"/>
        <v>6459.46</v>
      </c>
      <c r="J98" s="1893">
        <v>0</v>
      </c>
      <c r="K98" s="1894">
        <v>0</v>
      </c>
      <c r="L98" s="1895"/>
      <c r="M98" s="1896">
        <f t="shared" si="52"/>
        <v>0</v>
      </c>
      <c r="N98" s="1897">
        <f t="shared" si="53"/>
        <v>0</v>
      </c>
      <c r="O98" s="1898">
        <f t="shared" si="54"/>
        <v>0</v>
      </c>
      <c r="P98" s="1899">
        <f t="shared" si="55"/>
        <v>0</v>
      </c>
      <c r="Q98" s="1719">
        <f t="shared" si="56"/>
        <v>40.799999999999997</v>
      </c>
      <c r="R98" s="1900">
        <f t="shared" si="57"/>
        <v>6459.46</v>
      </c>
      <c r="S98" s="1901">
        <f t="shared" si="58"/>
        <v>1</v>
      </c>
      <c r="T98" s="2263"/>
      <c r="U98" s="1423"/>
      <c r="V98" s="1423"/>
      <c r="W98" s="1423"/>
      <c r="X98" s="1434"/>
    </row>
    <row r="99" spans="1:24" s="1417" customFormat="1" ht="13.8">
      <c r="A99" s="1416"/>
      <c r="B99" s="1902" t="s">
        <v>4115</v>
      </c>
      <c r="C99" s="1903" t="s">
        <v>4116</v>
      </c>
      <c r="D99" s="1889" t="s">
        <v>37</v>
      </c>
      <c r="E99" s="1747">
        <v>29.12</v>
      </c>
      <c r="F99" s="1747">
        <v>92.96</v>
      </c>
      <c r="G99" s="1890">
        <v>94.49</v>
      </c>
      <c r="H99" s="1891">
        <f t="shared" si="51"/>
        <v>2706.9951999999998</v>
      </c>
      <c r="I99" s="1891">
        <f t="shared" si="44"/>
        <v>2751.55</v>
      </c>
      <c r="J99" s="1893">
        <v>0</v>
      </c>
      <c r="K99" s="1894">
        <v>0</v>
      </c>
      <c r="L99" s="1895"/>
      <c r="M99" s="1896">
        <f t="shared" si="52"/>
        <v>0</v>
      </c>
      <c r="N99" s="1897">
        <f t="shared" si="53"/>
        <v>0</v>
      </c>
      <c r="O99" s="1898">
        <f t="shared" si="54"/>
        <v>0</v>
      </c>
      <c r="P99" s="1899">
        <f t="shared" si="55"/>
        <v>0</v>
      </c>
      <c r="Q99" s="1719">
        <f t="shared" si="56"/>
        <v>29.12</v>
      </c>
      <c r="R99" s="1900">
        <f t="shared" si="57"/>
        <v>2751.55</v>
      </c>
      <c r="S99" s="1901">
        <f t="shared" si="58"/>
        <v>1</v>
      </c>
      <c r="T99" s="2263"/>
      <c r="U99" s="1423"/>
      <c r="V99" s="1423"/>
      <c r="W99" s="1423"/>
      <c r="X99" s="1434"/>
    </row>
    <row r="100" spans="1:24" s="1417" customFormat="1" ht="13.8">
      <c r="A100" s="1429"/>
      <c r="B100" s="1902" t="s">
        <v>4117</v>
      </c>
      <c r="C100" s="1903" t="s">
        <v>4118</v>
      </c>
      <c r="D100" s="1889" t="s">
        <v>36</v>
      </c>
      <c r="E100" s="1747">
        <v>1</v>
      </c>
      <c r="F100" s="1747">
        <v>1541.92</v>
      </c>
      <c r="G100" s="1890">
        <v>1557.23</v>
      </c>
      <c r="H100" s="1891">
        <f t="shared" si="51"/>
        <v>1541.92</v>
      </c>
      <c r="I100" s="1891">
        <f t="shared" si="44"/>
        <v>1557.23</v>
      </c>
      <c r="J100" s="1893">
        <v>0</v>
      </c>
      <c r="K100" s="1894">
        <v>0</v>
      </c>
      <c r="L100" s="1895"/>
      <c r="M100" s="1896">
        <f t="shared" si="52"/>
        <v>0</v>
      </c>
      <c r="N100" s="1897">
        <f t="shared" si="53"/>
        <v>0</v>
      </c>
      <c r="O100" s="1898">
        <f t="shared" si="54"/>
        <v>0</v>
      </c>
      <c r="P100" s="1899">
        <f t="shared" si="55"/>
        <v>0</v>
      </c>
      <c r="Q100" s="1719">
        <f t="shared" si="56"/>
        <v>1</v>
      </c>
      <c r="R100" s="1900">
        <f t="shared" si="57"/>
        <v>1557.23</v>
      </c>
      <c r="S100" s="1901">
        <f t="shared" si="58"/>
        <v>1</v>
      </c>
      <c r="T100" s="2263"/>
      <c r="U100" s="1423"/>
      <c r="V100" s="1423"/>
      <c r="W100" s="1423"/>
      <c r="X100" s="1434"/>
    </row>
    <row r="101" spans="1:24" s="1417" customFormat="1" ht="13.8">
      <c r="B101" s="1902" t="s">
        <v>4119</v>
      </c>
      <c r="C101" s="1903" t="s">
        <v>4120</v>
      </c>
      <c r="D101" s="1889" t="s">
        <v>36</v>
      </c>
      <c r="E101" s="1747">
        <v>3</v>
      </c>
      <c r="F101" s="1747">
        <v>1629.74</v>
      </c>
      <c r="G101" s="1890">
        <v>1645.05</v>
      </c>
      <c r="H101" s="1891">
        <f t="shared" si="51"/>
        <v>4889.22</v>
      </c>
      <c r="I101" s="1891">
        <f t="shared" si="44"/>
        <v>4935.1499999999996</v>
      </c>
      <c r="J101" s="1893">
        <v>0</v>
      </c>
      <c r="K101" s="1894">
        <v>0</v>
      </c>
      <c r="L101" s="1895"/>
      <c r="M101" s="1896">
        <f t="shared" si="52"/>
        <v>0</v>
      </c>
      <c r="N101" s="1897">
        <f t="shared" si="53"/>
        <v>0</v>
      </c>
      <c r="O101" s="1898">
        <f t="shared" si="54"/>
        <v>0</v>
      </c>
      <c r="P101" s="1899">
        <f t="shared" si="55"/>
        <v>0</v>
      </c>
      <c r="Q101" s="1719">
        <f t="shared" si="56"/>
        <v>3</v>
      </c>
      <c r="R101" s="1900">
        <f t="shared" si="57"/>
        <v>4935.1499999999996</v>
      </c>
      <c r="S101" s="1901">
        <f t="shared" si="58"/>
        <v>1</v>
      </c>
      <c r="T101" s="2263"/>
      <c r="U101" s="1423"/>
      <c r="V101" s="1423"/>
      <c r="W101" s="1423"/>
      <c r="X101" s="1434"/>
    </row>
    <row r="102" spans="1:24" s="1417" customFormat="1" ht="13.8">
      <c r="A102" s="1416"/>
      <c r="B102" s="1902" t="s">
        <v>4121</v>
      </c>
      <c r="C102" s="1903" t="s">
        <v>4122</v>
      </c>
      <c r="D102" s="1889" t="s">
        <v>38</v>
      </c>
      <c r="E102" s="1747">
        <v>27</v>
      </c>
      <c r="F102" s="1747">
        <v>54.96</v>
      </c>
      <c r="G102" s="1890">
        <v>55.51</v>
      </c>
      <c r="H102" s="1891">
        <f t="shared" si="51"/>
        <v>1483.92</v>
      </c>
      <c r="I102" s="1891">
        <f t="shared" si="44"/>
        <v>1498.77</v>
      </c>
      <c r="J102" s="1893">
        <v>0</v>
      </c>
      <c r="K102" s="1894">
        <v>0</v>
      </c>
      <c r="L102" s="1895"/>
      <c r="M102" s="1896">
        <f t="shared" si="52"/>
        <v>0</v>
      </c>
      <c r="N102" s="1897">
        <f t="shared" si="53"/>
        <v>0</v>
      </c>
      <c r="O102" s="1898">
        <f t="shared" si="54"/>
        <v>0</v>
      </c>
      <c r="P102" s="1899">
        <f t="shared" si="55"/>
        <v>0</v>
      </c>
      <c r="Q102" s="1719">
        <f t="shared" si="56"/>
        <v>27</v>
      </c>
      <c r="R102" s="1900">
        <f t="shared" si="57"/>
        <v>1498.77</v>
      </c>
      <c r="S102" s="1901">
        <f t="shared" si="58"/>
        <v>1</v>
      </c>
      <c r="T102" s="2263"/>
      <c r="U102" s="1423"/>
      <c r="V102" s="1423"/>
      <c r="W102" s="1423"/>
      <c r="X102" s="1434"/>
    </row>
    <row r="103" spans="1:24" s="1417" customFormat="1" ht="13.8">
      <c r="A103" s="1429"/>
      <c r="B103" s="1902" t="s">
        <v>4123</v>
      </c>
      <c r="C103" s="1903" t="s">
        <v>4124</v>
      </c>
      <c r="D103" s="1889" t="s">
        <v>38</v>
      </c>
      <c r="E103" s="1747">
        <v>41.2</v>
      </c>
      <c r="F103" s="1747">
        <v>26</v>
      </c>
      <c r="G103" s="1890">
        <v>26.5</v>
      </c>
      <c r="H103" s="1891">
        <f t="shared" si="51"/>
        <v>1071.2</v>
      </c>
      <c r="I103" s="1891">
        <f t="shared" si="44"/>
        <v>1091.8</v>
      </c>
      <c r="J103" s="1893">
        <v>0</v>
      </c>
      <c r="K103" s="1894">
        <v>0</v>
      </c>
      <c r="L103" s="1895"/>
      <c r="M103" s="1896">
        <f t="shared" si="52"/>
        <v>0</v>
      </c>
      <c r="N103" s="1897">
        <f t="shared" si="53"/>
        <v>0</v>
      </c>
      <c r="O103" s="1898">
        <f t="shared" si="54"/>
        <v>0</v>
      </c>
      <c r="P103" s="1899">
        <f t="shared" si="55"/>
        <v>0</v>
      </c>
      <c r="Q103" s="1719">
        <f t="shared" si="56"/>
        <v>41.2</v>
      </c>
      <c r="R103" s="1900">
        <f t="shared" si="57"/>
        <v>1091.8</v>
      </c>
      <c r="S103" s="1901">
        <f t="shared" si="58"/>
        <v>1</v>
      </c>
      <c r="T103" s="2263"/>
      <c r="U103" s="1423"/>
      <c r="V103" s="1423"/>
      <c r="W103" s="1423"/>
      <c r="X103" s="1434"/>
    </row>
    <row r="104" spans="1:24" s="1417" customFormat="1" ht="13.8">
      <c r="B104" s="1902" t="s">
        <v>4125</v>
      </c>
      <c r="C104" s="1903" t="s">
        <v>4126</v>
      </c>
      <c r="D104" s="1889" t="s">
        <v>38</v>
      </c>
      <c r="E104" s="1747">
        <v>3</v>
      </c>
      <c r="F104" s="1747">
        <v>85.85</v>
      </c>
      <c r="G104" s="1890">
        <v>86.24</v>
      </c>
      <c r="H104" s="1891">
        <f t="shared" si="51"/>
        <v>257.54999999999995</v>
      </c>
      <c r="I104" s="1891">
        <f t="shared" si="44"/>
        <v>258.72000000000003</v>
      </c>
      <c r="J104" s="1893">
        <v>0</v>
      </c>
      <c r="K104" s="1894">
        <v>0</v>
      </c>
      <c r="L104" s="1895"/>
      <c r="M104" s="1896">
        <f t="shared" si="52"/>
        <v>0</v>
      </c>
      <c r="N104" s="1897">
        <f t="shared" si="53"/>
        <v>0</v>
      </c>
      <c r="O104" s="1898">
        <f t="shared" si="54"/>
        <v>0</v>
      </c>
      <c r="P104" s="1899">
        <f t="shared" si="55"/>
        <v>0</v>
      </c>
      <c r="Q104" s="1719">
        <f t="shared" si="56"/>
        <v>3</v>
      </c>
      <c r="R104" s="1900">
        <f t="shared" si="57"/>
        <v>258.72000000000003</v>
      </c>
      <c r="S104" s="1901">
        <f t="shared" si="58"/>
        <v>1</v>
      </c>
      <c r="T104" s="2263"/>
      <c r="U104" s="1423"/>
      <c r="V104" s="1423"/>
      <c r="W104" s="1423"/>
      <c r="X104" s="1434"/>
    </row>
    <row r="105" spans="1:24" s="1417" customFormat="1" ht="13.8">
      <c r="A105" s="1429"/>
      <c r="B105" s="1902" t="s">
        <v>4127</v>
      </c>
      <c r="C105" s="1903" t="s">
        <v>4067</v>
      </c>
      <c r="D105" s="1889" t="s">
        <v>38</v>
      </c>
      <c r="E105" s="1747">
        <v>16</v>
      </c>
      <c r="F105" s="1747">
        <v>76.09</v>
      </c>
      <c r="G105" s="1890">
        <v>76.48</v>
      </c>
      <c r="H105" s="1891">
        <f t="shared" si="51"/>
        <v>1217.44</v>
      </c>
      <c r="I105" s="1891">
        <f t="shared" si="44"/>
        <v>1223.68</v>
      </c>
      <c r="J105" s="1893">
        <v>0</v>
      </c>
      <c r="K105" s="1894">
        <v>0</v>
      </c>
      <c r="L105" s="1895"/>
      <c r="M105" s="1896">
        <f t="shared" si="52"/>
        <v>0</v>
      </c>
      <c r="N105" s="1897">
        <f t="shared" si="53"/>
        <v>0</v>
      </c>
      <c r="O105" s="1898">
        <f t="shared" si="54"/>
        <v>0</v>
      </c>
      <c r="P105" s="1899">
        <f t="shared" si="55"/>
        <v>0</v>
      </c>
      <c r="Q105" s="1719">
        <f t="shared" si="56"/>
        <v>16</v>
      </c>
      <c r="R105" s="1900">
        <f t="shared" si="57"/>
        <v>1223.68</v>
      </c>
      <c r="S105" s="1901">
        <f t="shared" si="58"/>
        <v>1</v>
      </c>
      <c r="T105" s="2263"/>
      <c r="U105" s="1423"/>
      <c r="V105" s="1423"/>
      <c r="W105" s="1423"/>
      <c r="X105" s="1434"/>
    </row>
    <row r="106" spans="1:24" s="1417" customFormat="1" ht="13.8">
      <c r="A106" s="1429"/>
      <c r="B106" s="1902" t="s">
        <v>4128</v>
      </c>
      <c r="C106" s="1903" t="s">
        <v>4129</v>
      </c>
      <c r="D106" s="1889" t="s">
        <v>38</v>
      </c>
      <c r="E106" s="1747">
        <v>10</v>
      </c>
      <c r="F106" s="1747">
        <v>53.12</v>
      </c>
      <c r="G106" s="1890">
        <v>53.76</v>
      </c>
      <c r="H106" s="1891">
        <f t="shared" si="51"/>
        <v>531.19999999999993</v>
      </c>
      <c r="I106" s="1891">
        <f t="shared" si="44"/>
        <v>537.6</v>
      </c>
      <c r="J106" s="1893">
        <v>0</v>
      </c>
      <c r="K106" s="1894">
        <v>0</v>
      </c>
      <c r="L106" s="1895"/>
      <c r="M106" s="1896">
        <f t="shared" si="52"/>
        <v>0</v>
      </c>
      <c r="N106" s="1897">
        <f t="shared" si="53"/>
        <v>0</v>
      </c>
      <c r="O106" s="1898">
        <f t="shared" si="54"/>
        <v>0</v>
      </c>
      <c r="P106" s="1899">
        <f t="shared" si="55"/>
        <v>0</v>
      </c>
      <c r="Q106" s="1719">
        <f t="shared" si="56"/>
        <v>10</v>
      </c>
      <c r="R106" s="1900">
        <f t="shared" si="57"/>
        <v>537.6</v>
      </c>
      <c r="S106" s="1901">
        <f t="shared" si="58"/>
        <v>1</v>
      </c>
      <c r="T106" s="2263"/>
      <c r="U106" s="1423"/>
      <c r="V106" s="1423"/>
      <c r="W106" s="1423"/>
      <c r="X106" s="1434"/>
    </row>
    <row r="107" spans="1:24" s="1417" customFormat="1" ht="13.8">
      <c r="B107" s="1902" t="s">
        <v>4130</v>
      </c>
      <c r="C107" s="1903" t="s">
        <v>4027</v>
      </c>
      <c r="D107" s="1889" t="s">
        <v>37</v>
      </c>
      <c r="E107" s="1747">
        <v>29.12</v>
      </c>
      <c r="F107" s="1747">
        <v>397.3</v>
      </c>
      <c r="G107" s="1890">
        <v>400.36</v>
      </c>
      <c r="H107" s="1891">
        <f t="shared" si="51"/>
        <v>11569.376</v>
      </c>
      <c r="I107" s="1891">
        <f t="shared" si="44"/>
        <v>11658.48</v>
      </c>
      <c r="J107" s="1893">
        <v>0</v>
      </c>
      <c r="K107" s="1894">
        <v>0</v>
      </c>
      <c r="L107" s="1895"/>
      <c r="M107" s="1896">
        <f t="shared" si="52"/>
        <v>0</v>
      </c>
      <c r="N107" s="1897">
        <f t="shared" si="53"/>
        <v>0</v>
      </c>
      <c r="O107" s="1898">
        <f t="shared" si="54"/>
        <v>0</v>
      </c>
      <c r="P107" s="1899">
        <f t="shared" si="55"/>
        <v>0</v>
      </c>
      <c r="Q107" s="1719">
        <f t="shared" si="56"/>
        <v>29.12</v>
      </c>
      <c r="R107" s="1900">
        <f t="shared" si="57"/>
        <v>11658.48</v>
      </c>
      <c r="S107" s="1901">
        <f t="shared" si="58"/>
        <v>1</v>
      </c>
      <c r="T107" s="2263"/>
      <c r="U107" s="1423"/>
      <c r="V107" s="1423"/>
      <c r="W107" s="1423"/>
      <c r="X107" s="1434"/>
    </row>
    <row r="108" spans="1:24" s="1417" customFormat="1" ht="13.8">
      <c r="A108" s="1416"/>
      <c r="B108" s="2303" t="s">
        <v>4131</v>
      </c>
      <c r="C108" s="2304" t="s">
        <v>4029</v>
      </c>
      <c r="D108" s="1889"/>
      <c r="E108" s="1747"/>
      <c r="F108" s="1747"/>
      <c r="G108" s="1890"/>
      <c r="H108" s="1891"/>
      <c r="I108" s="1891">
        <f t="shared" si="44"/>
        <v>0</v>
      </c>
      <c r="J108" s="1893"/>
      <c r="K108" s="1894"/>
      <c r="L108" s="1895"/>
      <c r="M108" s="1896"/>
      <c r="N108" s="1897"/>
      <c r="O108" s="1898"/>
      <c r="P108" s="1899"/>
      <c r="Q108" s="1719"/>
      <c r="R108" s="1900"/>
      <c r="S108" s="1901" t="str">
        <f t="shared" si="46"/>
        <v/>
      </c>
      <c r="T108" s="2263"/>
      <c r="U108" s="1423"/>
      <c r="V108" s="1423"/>
      <c r="W108" s="1423"/>
      <c r="X108" s="1434"/>
    </row>
    <row r="109" spans="1:24" s="1417" customFormat="1" ht="13.8">
      <c r="A109" s="1429"/>
      <c r="B109" s="1902" t="s">
        <v>4132</v>
      </c>
      <c r="C109" s="1903" t="s">
        <v>4133</v>
      </c>
      <c r="D109" s="1889" t="s">
        <v>36</v>
      </c>
      <c r="E109" s="1747">
        <v>12</v>
      </c>
      <c r="F109" s="1747">
        <v>388.53</v>
      </c>
      <c r="G109" s="1890">
        <v>403.84</v>
      </c>
      <c r="H109" s="1891">
        <f t="shared" ref="H109" si="59">+E109*F109</f>
        <v>4662.3599999999997</v>
      </c>
      <c r="I109" s="1891">
        <f t="shared" si="44"/>
        <v>4846.08</v>
      </c>
      <c r="J109" s="1893">
        <v>0</v>
      </c>
      <c r="K109" s="1894">
        <v>0</v>
      </c>
      <c r="L109" s="1895"/>
      <c r="M109" s="1896">
        <f t="shared" si="52"/>
        <v>0</v>
      </c>
      <c r="N109" s="1897">
        <f t="shared" ref="N109" si="60">J109+L109</f>
        <v>0</v>
      </c>
      <c r="O109" s="1898">
        <f>N109*G109</f>
        <v>0</v>
      </c>
      <c r="P109" s="1899">
        <f>+IF(D109=0,"",O109/I109)</f>
        <v>0</v>
      </c>
      <c r="Q109" s="1719">
        <f t="shared" ref="Q109" si="61">E109-N109</f>
        <v>12</v>
      </c>
      <c r="R109" s="1900">
        <f>ROUND((Q109*G109),2)</f>
        <v>4846.08</v>
      </c>
      <c r="S109" s="1901">
        <f>+IF(I109=0,"",R109/I109)</f>
        <v>1</v>
      </c>
      <c r="T109" s="2263"/>
      <c r="U109" s="1423"/>
      <c r="V109" s="1423"/>
      <c r="W109" s="1423"/>
      <c r="X109" s="1434"/>
    </row>
    <row r="110" spans="1:24" s="1417" customFormat="1" ht="13.8">
      <c r="B110" s="2305" t="s">
        <v>4134</v>
      </c>
      <c r="C110" s="2306" t="s">
        <v>4135</v>
      </c>
      <c r="D110" s="1889"/>
      <c r="E110" s="1747"/>
      <c r="F110" s="1747"/>
      <c r="G110" s="1890"/>
      <c r="H110" s="1891"/>
      <c r="I110" s="1891">
        <f t="shared" si="44"/>
        <v>0</v>
      </c>
      <c r="J110" s="1893"/>
      <c r="K110" s="1894"/>
      <c r="L110" s="1895"/>
      <c r="M110" s="1896"/>
      <c r="N110" s="1897"/>
      <c r="O110" s="1898"/>
      <c r="P110" s="1899"/>
      <c r="Q110" s="1719"/>
      <c r="R110" s="1900"/>
      <c r="S110" s="1901" t="str">
        <f t="shared" si="46"/>
        <v/>
      </c>
      <c r="T110" s="2263"/>
      <c r="U110" s="1423"/>
      <c r="V110" s="1423"/>
      <c r="W110" s="1423"/>
      <c r="X110" s="1434"/>
    </row>
    <row r="111" spans="1:24" s="1417" customFormat="1" ht="13.8">
      <c r="A111" s="1416"/>
      <c r="B111" s="1902" t="s">
        <v>4136</v>
      </c>
      <c r="C111" s="1903" t="s">
        <v>4137</v>
      </c>
      <c r="D111" s="1889" t="s">
        <v>36</v>
      </c>
      <c r="E111" s="1747">
        <v>18</v>
      </c>
      <c r="F111" s="1747">
        <v>52.03</v>
      </c>
      <c r="G111" s="1890">
        <v>52.34</v>
      </c>
      <c r="H111" s="1891">
        <f t="shared" ref="H111:H115" si="62">+E111*F111</f>
        <v>936.54</v>
      </c>
      <c r="I111" s="1891">
        <f t="shared" si="44"/>
        <v>942.12</v>
      </c>
      <c r="J111" s="1893">
        <v>0</v>
      </c>
      <c r="K111" s="1894">
        <v>0</v>
      </c>
      <c r="L111" s="1895"/>
      <c r="M111" s="1896">
        <f t="shared" si="52"/>
        <v>0</v>
      </c>
      <c r="N111" s="1897">
        <f t="shared" ref="N111:N115" si="63">J111+L111</f>
        <v>0</v>
      </c>
      <c r="O111" s="1898">
        <f t="shared" ref="O111:O115" si="64">N111*G111</f>
        <v>0</v>
      </c>
      <c r="P111" s="1899">
        <f t="shared" ref="P111:P115" si="65">+IF(D111=0,"",O111/I111)</f>
        <v>0</v>
      </c>
      <c r="Q111" s="1719">
        <f t="shared" ref="Q111:Q115" si="66">E111-N111</f>
        <v>18</v>
      </c>
      <c r="R111" s="1900">
        <f t="shared" ref="R111:R115" si="67">ROUND((Q111*G111),2)</f>
        <v>942.12</v>
      </c>
      <c r="S111" s="1901">
        <f t="shared" ref="S111:S115" si="68">+IF(I111=0,"",R111/I111)</f>
        <v>1</v>
      </c>
      <c r="T111" s="2263"/>
      <c r="U111" s="1423"/>
      <c r="V111" s="1423"/>
      <c r="W111" s="1423"/>
      <c r="X111" s="1434"/>
    </row>
    <row r="112" spans="1:24" s="1417" customFormat="1" ht="13.8">
      <c r="A112" s="1429"/>
      <c r="B112" s="1902" t="s">
        <v>4138</v>
      </c>
      <c r="C112" s="1903" t="s">
        <v>4139</v>
      </c>
      <c r="D112" s="1889" t="s">
        <v>36</v>
      </c>
      <c r="E112" s="1747">
        <v>9</v>
      </c>
      <c r="F112" s="1747">
        <v>606.05999999999995</v>
      </c>
      <c r="G112" s="1890">
        <v>621.37</v>
      </c>
      <c r="H112" s="1891">
        <f t="shared" si="62"/>
        <v>5454.5399999999991</v>
      </c>
      <c r="I112" s="1891">
        <f t="shared" si="44"/>
        <v>5592.33</v>
      </c>
      <c r="J112" s="1893">
        <v>0</v>
      </c>
      <c r="K112" s="1894">
        <v>0</v>
      </c>
      <c r="L112" s="1895"/>
      <c r="M112" s="1896">
        <f t="shared" si="52"/>
        <v>0</v>
      </c>
      <c r="N112" s="1897">
        <f t="shared" si="63"/>
        <v>0</v>
      </c>
      <c r="O112" s="1898">
        <f t="shared" si="64"/>
        <v>0</v>
      </c>
      <c r="P112" s="1899">
        <f t="shared" si="65"/>
        <v>0</v>
      </c>
      <c r="Q112" s="1719">
        <f t="shared" si="66"/>
        <v>9</v>
      </c>
      <c r="R112" s="1900">
        <f t="shared" si="67"/>
        <v>5592.33</v>
      </c>
      <c r="S112" s="1901">
        <f t="shared" si="68"/>
        <v>1</v>
      </c>
      <c r="T112" s="2263"/>
      <c r="U112" s="1423"/>
      <c r="V112" s="1423"/>
      <c r="W112" s="1423"/>
      <c r="X112" s="1434"/>
    </row>
    <row r="113" spans="1:24" s="1417" customFormat="1" ht="13.8">
      <c r="B113" s="1902" t="s">
        <v>4140</v>
      </c>
      <c r="C113" s="1903" t="s">
        <v>4141</v>
      </c>
      <c r="D113" s="1889" t="s">
        <v>36</v>
      </c>
      <c r="E113" s="1747">
        <v>24</v>
      </c>
      <c r="F113" s="1747">
        <v>59.62</v>
      </c>
      <c r="G113" s="1890">
        <v>60.39</v>
      </c>
      <c r="H113" s="1891">
        <f t="shared" si="62"/>
        <v>1430.8799999999999</v>
      </c>
      <c r="I113" s="1891">
        <f t="shared" si="44"/>
        <v>1449.36</v>
      </c>
      <c r="J113" s="1893">
        <v>0</v>
      </c>
      <c r="K113" s="1894">
        <v>0</v>
      </c>
      <c r="L113" s="1895"/>
      <c r="M113" s="1896">
        <f t="shared" si="52"/>
        <v>0</v>
      </c>
      <c r="N113" s="1897">
        <f t="shared" si="63"/>
        <v>0</v>
      </c>
      <c r="O113" s="1898">
        <f t="shared" si="64"/>
        <v>0</v>
      </c>
      <c r="P113" s="1899">
        <f t="shared" si="65"/>
        <v>0</v>
      </c>
      <c r="Q113" s="1719">
        <f t="shared" si="66"/>
        <v>24</v>
      </c>
      <c r="R113" s="1900">
        <f t="shared" si="67"/>
        <v>1449.36</v>
      </c>
      <c r="S113" s="1901">
        <f t="shared" si="68"/>
        <v>1</v>
      </c>
      <c r="T113" s="2263"/>
      <c r="U113" s="1423"/>
      <c r="V113" s="1423"/>
      <c r="W113" s="1423"/>
      <c r="X113" s="1434"/>
    </row>
    <row r="114" spans="1:24" s="1417" customFormat="1" ht="13.8">
      <c r="A114" s="1429"/>
      <c r="B114" s="1902" t="s">
        <v>4142</v>
      </c>
      <c r="C114" s="1903" t="s">
        <v>4143</v>
      </c>
      <c r="D114" s="1889" t="s">
        <v>38</v>
      </c>
      <c r="E114" s="1747">
        <v>83.2</v>
      </c>
      <c r="F114" s="1747">
        <v>25.77</v>
      </c>
      <c r="G114" s="1890">
        <v>26.27</v>
      </c>
      <c r="H114" s="1891">
        <f t="shared" si="62"/>
        <v>2144.0639999999999</v>
      </c>
      <c r="I114" s="1891">
        <f t="shared" si="44"/>
        <v>2185.66</v>
      </c>
      <c r="J114" s="1893">
        <v>0</v>
      </c>
      <c r="K114" s="1894">
        <v>0</v>
      </c>
      <c r="L114" s="1895"/>
      <c r="M114" s="1896">
        <f t="shared" si="52"/>
        <v>0</v>
      </c>
      <c r="N114" s="1897">
        <f t="shared" si="63"/>
        <v>0</v>
      </c>
      <c r="O114" s="1898">
        <f t="shared" si="64"/>
        <v>0</v>
      </c>
      <c r="P114" s="1899">
        <f t="shared" si="65"/>
        <v>0</v>
      </c>
      <c r="Q114" s="1719">
        <f t="shared" si="66"/>
        <v>83.2</v>
      </c>
      <c r="R114" s="1900">
        <f t="shared" si="67"/>
        <v>2185.66</v>
      </c>
      <c r="S114" s="1901">
        <f t="shared" si="68"/>
        <v>1</v>
      </c>
      <c r="T114" s="2263"/>
      <c r="U114" s="1423"/>
      <c r="V114" s="1423"/>
      <c r="W114" s="1423"/>
      <c r="X114" s="1434"/>
    </row>
    <row r="115" spans="1:24" s="1417" customFormat="1" ht="13.8">
      <c r="A115" s="1429"/>
      <c r="B115" s="1902" t="s">
        <v>4144</v>
      </c>
      <c r="C115" s="1903" t="s">
        <v>4145</v>
      </c>
      <c r="D115" s="1889" t="s">
        <v>38</v>
      </c>
      <c r="E115" s="1747">
        <v>10.4</v>
      </c>
      <c r="F115" s="1747">
        <v>41.39</v>
      </c>
      <c r="G115" s="1890">
        <v>41.78</v>
      </c>
      <c r="H115" s="1891">
        <f t="shared" si="62"/>
        <v>430.45600000000002</v>
      </c>
      <c r="I115" s="1891">
        <f t="shared" si="44"/>
        <v>434.51</v>
      </c>
      <c r="J115" s="1893">
        <v>0</v>
      </c>
      <c r="K115" s="1894">
        <v>0</v>
      </c>
      <c r="L115" s="1895"/>
      <c r="M115" s="1896">
        <f t="shared" si="52"/>
        <v>0</v>
      </c>
      <c r="N115" s="1897">
        <f t="shared" si="63"/>
        <v>0</v>
      </c>
      <c r="O115" s="1898">
        <f t="shared" si="64"/>
        <v>0</v>
      </c>
      <c r="P115" s="1899">
        <f t="shared" si="65"/>
        <v>0</v>
      </c>
      <c r="Q115" s="1719">
        <f t="shared" si="66"/>
        <v>10.4</v>
      </c>
      <c r="R115" s="1900">
        <f t="shared" si="67"/>
        <v>434.51</v>
      </c>
      <c r="S115" s="1901">
        <f t="shared" si="68"/>
        <v>1</v>
      </c>
      <c r="T115" s="2263"/>
      <c r="U115" s="1423"/>
      <c r="V115" s="1423"/>
      <c r="W115" s="1423"/>
      <c r="X115" s="1434"/>
    </row>
    <row r="116" spans="1:24" s="1417" customFormat="1" ht="13.8">
      <c r="B116" s="2303" t="s">
        <v>4146</v>
      </c>
      <c r="C116" s="2304" t="s">
        <v>4029</v>
      </c>
      <c r="D116" s="1889"/>
      <c r="E116" s="1747"/>
      <c r="F116" s="1747"/>
      <c r="G116" s="1890"/>
      <c r="H116" s="1891"/>
      <c r="I116" s="1891">
        <f t="shared" si="44"/>
        <v>0</v>
      </c>
      <c r="J116" s="1893"/>
      <c r="K116" s="1894"/>
      <c r="L116" s="1895"/>
      <c r="M116" s="1896"/>
      <c r="N116" s="1897"/>
      <c r="O116" s="1898"/>
      <c r="P116" s="1899"/>
      <c r="Q116" s="1719"/>
      <c r="R116" s="1900"/>
      <c r="S116" s="1901" t="str">
        <f t="shared" si="46"/>
        <v/>
      </c>
      <c r="T116" s="2263"/>
      <c r="U116" s="1423"/>
      <c r="V116" s="1423"/>
      <c r="W116" s="1423"/>
      <c r="X116" s="1434"/>
    </row>
    <row r="117" spans="1:24" s="1417" customFormat="1" ht="13.8">
      <c r="A117" s="1416"/>
      <c r="B117" s="1902" t="s">
        <v>4147</v>
      </c>
      <c r="C117" s="1903" t="s">
        <v>4148</v>
      </c>
      <c r="D117" s="1889" t="s">
        <v>36</v>
      </c>
      <c r="E117" s="1747">
        <v>33</v>
      </c>
      <c r="F117" s="1747">
        <v>237.54</v>
      </c>
      <c r="G117" s="1890">
        <v>246.24</v>
      </c>
      <c r="H117" s="1891">
        <f t="shared" ref="H117:H118" si="69">+E117*F117</f>
        <v>7838.82</v>
      </c>
      <c r="I117" s="1891">
        <f t="shared" si="44"/>
        <v>8125.92</v>
      </c>
      <c r="J117" s="1893">
        <v>0</v>
      </c>
      <c r="K117" s="1894">
        <v>0</v>
      </c>
      <c r="L117" s="1895"/>
      <c r="M117" s="1896">
        <f t="shared" si="52"/>
        <v>0</v>
      </c>
      <c r="N117" s="1897">
        <f t="shared" ref="N117:N118" si="70">J117+L117</f>
        <v>0</v>
      </c>
      <c r="O117" s="1898">
        <f t="shared" ref="O117:O118" si="71">N117*G117</f>
        <v>0</v>
      </c>
      <c r="P117" s="1899">
        <f t="shared" ref="P117:P118" si="72">+IF(D117=0,"",O117/I117)</f>
        <v>0</v>
      </c>
      <c r="Q117" s="1719">
        <f t="shared" ref="Q117:Q118" si="73">E117-N117</f>
        <v>33</v>
      </c>
      <c r="R117" s="1900">
        <f t="shared" ref="R117:R118" si="74">ROUND((Q117*G117),2)</f>
        <v>8125.92</v>
      </c>
      <c r="S117" s="1901">
        <f t="shared" ref="S117:S118" si="75">+IF(I117=0,"",R117/I117)</f>
        <v>1</v>
      </c>
      <c r="T117" s="2263"/>
      <c r="U117" s="1423"/>
      <c r="V117" s="1423"/>
      <c r="W117" s="1423"/>
      <c r="X117" s="1434"/>
    </row>
    <row r="118" spans="1:24" s="1417" customFormat="1" ht="13.8">
      <c r="A118" s="1429"/>
      <c r="B118" s="1902" t="s">
        <v>4149</v>
      </c>
      <c r="C118" s="1903" t="s">
        <v>4150</v>
      </c>
      <c r="D118" s="1889" t="s">
        <v>38</v>
      </c>
      <c r="E118" s="1747">
        <v>83.2</v>
      </c>
      <c r="F118" s="1747">
        <v>236.87</v>
      </c>
      <c r="G118" s="1890">
        <v>245.57</v>
      </c>
      <c r="H118" s="1891">
        <f t="shared" si="69"/>
        <v>19707.584000000003</v>
      </c>
      <c r="I118" s="1891">
        <f t="shared" si="44"/>
        <v>20431.419999999998</v>
      </c>
      <c r="J118" s="1893">
        <v>0</v>
      </c>
      <c r="K118" s="1894">
        <v>0</v>
      </c>
      <c r="L118" s="1895"/>
      <c r="M118" s="1896">
        <f t="shared" si="52"/>
        <v>0</v>
      </c>
      <c r="N118" s="1897">
        <f t="shared" si="70"/>
        <v>0</v>
      </c>
      <c r="O118" s="1898">
        <f t="shared" si="71"/>
        <v>0</v>
      </c>
      <c r="P118" s="1899">
        <f t="shared" si="72"/>
        <v>0</v>
      </c>
      <c r="Q118" s="1719">
        <f t="shared" si="73"/>
        <v>83.2</v>
      </c>
      <c r="R118" s="1900">
        <f t="shared" si="74"/>
        <v>20431.419999999998</v>
      </c>
      <c r="S118" s="1901">
        <f t="shared" si="75"/>
        <v>1</v>
      </c>
      <c r="T118" s="2263"/>
      <c r="U118" s="1423"/>
      <c r="V118" s="1423"/>
      <c r="W118" s="1423"/>
      <c r="X118" s="1434"/>
    </row>
    <row r="119" spans="1:24" s="1417" customFormat="1" ht="13.8">
      <c r="B119" s="2305" t="s">
        <v>4151</v>
      </c>
      <c r="C119" s="2306" t="s">
        <v>4152</v>
      </c>
      <c r="D119" s="1889"/>
      <c r="E119" s="1747"/>
      <c r="F119" s="1747"/>
      <c r="G119" s="1890"/>
      <c r="H119" s="1891"/>
      <c r="I119" s="1891">
        <f t="shared" si="44"/>
        <v>0</v>
      </c>
      <c r="J119" s="1893"/>
      <c r="K119" s="1894"/>
      <c r="L119" s="1895"/>
      <c r="M119" s="1896"/>
      <c r="N119" s="1897"/>
      <c r="O119" s="1898"/>
      <c r="P119" s="1899"/>
      <c r="Q119" s="1719"/>
      <c r="R119" s="1900"/>
      <c r="S119" s="1901" t="str">
        <f t="shared" si="46"/>
        <v/>
      </c>
      <c r="T119" s="2263"/>
      <c r="U119" s="1423"/>
      <c r="V119" s="1423"/>
      <c r="W119" s="1423"/>
      <c r="X119" s="1434"/>
    </row>
    <row r="120" spans="1:24" s="1417" customFormat="1" ht="13.8">
      <c r="A120" s="1416"/>
      <c r="B120" s="1902" t="s">
        <v>4153</v>
      </c>
      <c r="C120" s="1903" t="s">
        <v>4154</v>
      </c>
      <c r="D120" s="1889" t="s">
        <v>36</v>
      </c>
      <c r="E120" s="1747">
        <v>24</v>
      </c>
      <c r="F120" s="1747">
        <v>103.83</v>
      </c>
      <c r="G120" s="1890">
        <v>106.02</v>
      </c>
      <c r="H120" s="1891">
        <f t="shared" ref="H120:H127" si="76">+E120*F120</f>
        <v>2491.92</v>
      </c>
      <c r="I120" s="1891">
        <f t="shared" si="44"/>
        <v>2544.48</v>
      </c>
      <c r="J120" s="1893">
        <v>0</v>
      </c>
      <c r="K120" s="1894">
        <v>0</v>
      </c>
      <c r="L120" s="1895"/>
      <c r="M120" s="1896">
        <f t="shared" si="52"/>
        <v>0</v>
      </c>
      <c r="N120" s="1897">
        <f t="shared" ref="N120:N127" si="77">J120+L120</f>
        <v>0</v>
      </c>
      <c r="O120" s="1898">
        <f t="shared" ref="O120:O127" si="78">N120*G120</f>
        <v>0</v>
      </c>
      <c r="P120" s="1899">
        <f t="shared" ref="P120:P127" si="79">+IF(D120=0,"",O120/I120)</f>
        <v>0</v>
      </c>
      <c r="Q120" s="1719">
        <f t="shared" ref="Q120:Q127" si="80">E120-N120</f>
        <v>24</v>
      </c>
      <c r="R120" s="1900">
        <f t="shared" ref="R120:R127" si="81">ROUND((Q120*G120),2)</f>
        <v>2544.48</v>
      </c>
      <c r="S120" s="1901">
        <f t="shared" ref="S120:S127" si="82">+IF(I120=0,"",R120/I120)</f>
        <v>1</v>
      </c>
      <c r="T120" s="2263"/>
      <c r="U120" s="1423"/>
      <c r="V120" s="1423"/>
      <c r="W120" s="1423"/>
      <c r="X120" s="1434"/>
    </row>
    <row r="121" spans="1:24" s="1417" customFormat="1" ht="13.8">
      <c r="A121" s="1429"/>
      <c r="B121" s="1902" t="s">
        <v>4155</v>
      </c>
      <c r="C121" s="1903" t="s">
        <v>4156</v>
      </c>
      <c r="D121" s="1889" t="s">
        <v>36</v>
      </c>
      <c r="E121" s="1747">
        <v>12</v>
      </c>
      <c r="F121" s="1747">
        <v>1920.12</v>
      </c>
      <c r="G121" s="1890">
        <v>1950.75</v>
      </c>
      <c r="H121" s="1891">
        <f t="shared" si="76"/>
        <v>23041.439999999999</v>
      </c>
      <c r="I121" s="1891">
        <f t="shared" si="44"/>
        <v>23409</v>
      </c>
      <c r="J121" s="1893">
        <v>0</v>
      </c>
      <c r="K121" s="1894">
        <v>0</v>
      </c>
      <c r="L121" s="1895"/>
      <c r="M121" s="1896">
        <f t="shared" si="52"/>
        <v>0</v>
      </c>
      <c r="N121" s="1897">
        <f t="shared" si="77"/>
        <v>0</v>
      </c>
      <c r="O121" s="1898">
        <f t="shared" si="78"/>
        <v>0</v>
      </c>
      <c r="P121" s="1899">
        <f t="shared" si="79"/>
        <v>0</v>
      </c>
      <c r="Q121" s="1719">
        <f t="shared" si="80"/>
        <v>12</v>
      </c>
      <c r="R121" s="1900">
        <f t="shared" si="81"/>
        <v>23409</v>
      </c>
      <c r="S121" s="1901">
        <f t="shared" si="82"/>
        <v>1</v>
      </c>
      <c r="T121" s="2263"/>
      <c r="U121" s="1423"/>
      <c r="V121" s="1423"/>
      <c r="W121" s="1423"/>
      <c r="X121" s="1434"/>
    </row>
    <row r="122" spans="1:24" s="1417" customFormat="1" ht="13.8">
      <c r="B122" s="1902" t="s">
        <v>4157</v>
      </c>
      <c r="C122" s="1903" t="s">
        <v>4158</v>
      </c>
      <c r="D122" s="1889" t="s">
        <v>36</v>
      </c>
      <c r="E122" s="1747">
        <v>18</v>
      </c>
      <c r="F122" s="1747">
        <v>547.34</v>
      </c>
      <c r="G122" s="1890">
        <v>562.65</v>
      </c>
      <c r="H122" s="1891">
        <f t="shared" si="76"/>
        <v>9852.1200000000008</v>
      </c>
      <c r="I122" s="1891">
        <f t="shared" si="44"/>
        <v>10127.700000000001</v>
      </c>
      <c r="J122" s="1893">
        <v>0</v>
      </c>
      <c r="K122" s="1894">
        <v>0</v>
      </c>
      <c r="L122" s="1895"/>
      <c r="M122" s="1896">
        <f t="shared" si="52"/>
        <v>0</v>
      </c>
      <c r="N122" s="1897">
        <f t="shared" si="77"/>
        <v>0</v>
      </c>
      <c r="O122" s="1898">
        <f t="shared" si="78"/>
        <v>0</v>
      </c>
      <c r="P122" s="1899">
        <f t="shared" si="79"/>
        <v>0</v>
      </c>
      <c r="Q122" s="1719">
        <f t="shared" si="80"/>
        <v>18</v>
      </c>
      <c r="R122" s="1900">
        <f t="shared" si="81"/>
        <v>10127.700000000001</v>
      </c>
      <c r="S122" s="1901">
        <f t="shared" si="82"/>
        <v>1</v>
      </c>
      <c r="T122" s="2263"/>
      <c r="U122" s="1423"/>
      <c r="V122" s="1423"/>
      <c r="W122" s="1423"/>
      <c r="X122" s="1434"/>
    </row>
    <row r="123" spans="1:24" s="1417" customFormat="1" ht="13.8">
      <c r="A123" s="1429"/>
      <c r="B123" s="1902" t="s">
        <v>4159</v>
      </c>
      <c r="C123" s="1903" t="s">
        <v>4160</v>
      </c>
      <c r="D123" s="1889" t="s">
        <v>36</v>
      </c>
      <c r="E123" s="1747">
        <v>36</v>
      </c>
      <c r="F123" s="1747">
        <v>547.34</v>
      </c>
      <c r="G123" s="1890">
        <v>562.65</v>
      </c>
      <c r="H123" s="1891">
        <f t="shared" si="76"/>
        <v>19704.240000000002</v>
      </c>
      <c r="I123" s="1891">
        <f t="shared" si="44"/>
        <v>20255.400000000001</v>
      </c>
      <c r="J123" s="1893">
        <v>0</v>
      </c>
      <c r="K123" s="1894">
        <v>0</v>
      </c>
      <c r="L123" s="1895"/>
      <c r="M123" s="1896">
        <f t="shared" si="52"/>
        <v>0</v>
      </c>
      <c r="N123" s="1897">
        <f t="shared" si="77"/>
        <v>0</v>
      </c>
      <c r="O123" s="1898">
        <f t="shared" si="78"/>
        <v>0</v>
      </c>
      <c r="P123" s="1899">
        <f t="shared" si="79"/>
        <v>0</v>
      </c>
      <c r="Q123" s="1719">
        <f t="shared" si="80"/>
        <v>36</v>
      </c>
      <c r="R123" s="1900">
        <f t="shared" si="81"/>
        <v>20255.400000000001</v>
      </c>
      <c r="S123" s="1901">
        <f t="shared" si="82"/>
        <v>1</v>
      </c>
      <c r="T123" s="2263"/>
      <c r="U123" s="1423"/>
      <c r="V123" s="1423"/>
      <c r="W123" s="1423"/>
      <c r="X123" s="1434"/>
    </row>
    <row r="124" spans="1:24" s="1417" customFormat="1" ht="13.8">
      <c r="A124" s="1429"/>
      <c r="B124" s="1902" t="s">
        <v>4161</v>
      </c>
      <c r="C124" s="1903" t="s">
        <v>4162</v>
      </c>
      <c r="D124" s="1889" t="s">
        <v>36</v>
      </c>
      <c r="E124" s="1747">
        <v>144</v>
      </c>
      <c r="F124" s="1747">
        <v>59.62</v>
      </c>
      <c r="G124" s="1890">
        <v>60.39</v>
      </c>
      <c r="H124" s="1891">
        <f t="shared" si="76"/>
        <v>8585.2799999999988</v>
      </c>
      <c r="I124" s="1891">
        <f t="shared" si="44"/>
        <v>8696.16</v>
      </c>
      <c r="J124" s="1893">
        <v>0</v>
      </c>
      <c r="K124" s="1894">
        <v>0</v>
      </c>
      <c r="L124" s="1895"/>
      <c r="M124" s="1896">
        <f t="shared" si="52"/>
        <v>0</v>
      </c>
      <c r="N124" s="1897">
        <f t="shared" si="77"/>
        <v>0</v>
      </c>
      <c r="O124" s="1898">
        <f t="shared" si="78"/>
        <v>0</v>
      </c>
      <c r="P124" s="1899">
        <f t="shared" si="79"/>
        <v>0</v>
      </c>
      <c r="Q124" s="1719">
        <f t="shared" si="80"/>
        <v>144</v>
      </c>
      <c r="R124" s="1900">
        <f t="shared" si="81"/>
        <v>8696.16</v>
      </c>
      <c r="S124" s="1901">
        <f t="shared" si="82"/>
        <v>1</v>
      </c>
      <c r="T124" s="2263"/>
      <c r="U124" s="1423"/>
      <c r="V124" s="1423"/>
      <c r="W124" s="1423"/>
      <c r="X124" s="1434"/>
    </row>
    <row r="125" spans="1:24" s="1417" customFormat="1" ht="13.8">
      <c r="B125" s="1902" t="s">
        <v>4163</v>
      </c>
      <c r="C125" s="1903" t="s">
        <v>4164</v>
      </c>
      <c r="D125" s="1889" t="s">
        <v>38</v>
      </c>
      <c r="E125" s="1747">
        <v>374.4</v>
      </c>
      <c r="F125" s="1747">
        <v>25.77</v>
      </c>
      <c r="G125" s="1890">
        <v>26.27</v>
      </c>
      <c r="H125" s="1891">
        <f t="shared" si="76"/>
        <v>9648.2879999999986</v>
      </c>
      <c r="I125" s="1891">
        <f t="shared" si="44"/>
        <v>9835.49</v>
      </c>
      <c r="J125" s="1893">
        <v>0</v>
      </c>
      <c r="K125" s="1894">
        <v>0</v>
      </c>
      <c r="L125" s="1895"/>
      <c r="M125" s="1896">
        <f t="shared" si="52"/>
        <v>0</v>
      </c>
      <c r="N125" s="1897">
        <f t="shared" si="77"/>
        <v>0</v>
      </c>
      <c r="O125" s="1898">
        <f t="shared" si="78"/>
        <v>0</v>
      </c>
      <c r="P125" s="1899">
        <f t="shared" si="79"/>
        <v>0</v>
      </c>
      <c r="Q125" s="1719">
        <f t="shared" si="80"/>
        <v>374.4</v>
      </c>
      <c r="R125" s="1900">
        <f t="shared" si="81"/>
        <v>9835.49</v>
      </c>
      <c r="S125" s="1901">
        <f t="shared" si="82"/>
        <v>1</v>
      </c>
      <c r="T125" s="2263"/>
      <c r="U125" s="1423"/>
      <c r="V125" s="1423"/>
      <c r="W125" s="1423"/>
      <c r="X125" s="1434"/>
    </row>
    <row r="126" spans="1:24" s="1417" customFormat="1" ht="13.8">
      <c r="A126" s="1416"/>
      <c r="B126" s="1902" t="s">
        <v>4165</v>
      </c>
      <c r="C126" s="1903" t="s">
        <v>4166</v>
      </c>
      <c r="D126" s="1889" t="s">
        <v>36</v>
      </c>
      <c r="E126" s="1747">
        <v>130</v>
      </c>
      <c r="F126" s="1747">
        <v>383.95</v>
      </c>
      <c r="G126" s="1890">
        <v>399.26</v>
      </c>
      <c r="H126" s="1891">
        <f t="shared" si="76"/>
        <v>49913.5</v>
      </c>
      <c r="I126" s="1891">
        <f t="shared" si="44"/>
        <v>51903.8</v>
      </c>
      <c r="J126" s="1893">
        <v>0</v>
      </c>
      <c r="K126" s="1894">
        <v>0</v>
      </c>
      <c r="L126" s="1895"/>
      <c r="M126" s="1896">
        <f t="shared" si="52"/>
        <v>0</v>
      </c>
      <c r="N126" s="1897">
        <f t="shared" si="77"/>
        <v>0</v>
      </c>
      <c r="O126" s="1898">
        <f t="shared" si="78"/>
        <v>0</v>
      </c>
      <c r="P126" s="1899">
        <f t="shared" si="79"/>
        <v>0</v>
      </c>
      <c r="Q126" s="1719">
        <f t="shared" si="80"/>
        <v>130</v>
      </c>
      <c r="R126" s="1900">
        <f t="shared" si="81"/>
        <v>51903.8</v>
      </c>
      <c r="S126" s="1901">
        <f t="shared" si="82"/>
        <v>1</v>
      </c>
      <c r="T126" s="2263"/>
      <c r="U126" s="1423"/>
      <c r="V126" s="1423"/>
      <c r="W126" s="1423"/>
      <c r="X126" s="1434"/>
    </row>
    <row r="127" spans="1:24" s="1417" customFormat="1" ht="13.8">
      <c r="A127" s="1429"/>
      <c r="B127" s="1902" t="s">
        <v>4167</v>
      </c>
      <c r="C127" s="1903" t="s">
        <v>4145</v>
      </c>
      <c r="D127" s="1889" t="s">
        <v>38</v>
      </c>
      <c r="E127" s="1747">
        <v>7</v>
      </c>
      <c r="F127" s="1747">
        <v>575.14</v>
      </c>
      <c r="G127" s="1890">
        <v>575.53</v>
      </c>
      <c r="H127" s="1891">
        <f t="shared" si="76"/>
        <v>4025.98</v>
      </c>
      <c r="I127" s="1891">
        <f t="shared" si="44"/>
        <v>4028.71</v>
      </c>
      <c r="J127" s="1893">
        <v>0</v>
      </c>
      <c r="K127" s="1894">
        <v>0</v>
      </c>
      <c r="L127" s="1895"/>
      <c r="M127" s="1896">
        <f t="shared" si="52"/>
        <v>0</v>
      </c>
      <c r="N127" s="1897">
        <f t="shared" si="77"/>
        <v>0</v>
      </c>
      <c r="O127" s="1898">
        <f t="shared" si="78"/>
        <v>0</v>
      </c>
      <c r="P127" s="1899">
        <f t="shared" si="79"/>
        <v>0</v>
      </c>
      <c r="Q127" s="1719">
        <f t="shared" si="80"/>
        <v>7</v>
      </c>
      <c r="R127" s="1900">
        <f t="shared" si="81"/>
        <v>4028.71</v>
      </c>
      <c r="S127" s="1901">
        <f t="shared" si="82"/>
        <v>1</v>
      </c>
      <c r="T127" s="2263"/>
      <c r="U127" s="1423"/>
      <c r="V127" s="1423"/>
      <c r="W127" s="1423"/>
      <c r="X127" s="1434"/>
    </row>
    <row r="128" spans="1:24" s="1417" customFormat="1" ht="13.8">
      <c r="B128" s="1902" t="s">
        <v>4168</v>
      </c>
      <c r="C128" s="1903" t="s">
        <v>4029</v>
      </c>
      <c r="D128" s="1889"/>
      <c r="E128" s="1747"/>
      <c r="F128" s="1747"/>
      <c r="G128" s="1890"/>
      <c r="H128" s="1891"/>
      <c r="I128" s="1891">
        <f t="shared" si="44"/>
        <v>0</v>
      </c>
      <c r="J128" s="1893"/>
      <c r="K128" s="1894"/>
      <c r="L128" s="1895"/>
      <c r="M128" s="1896"/>
      <c r="N128" s="1897"/>
      <c r="O128" s="1898"/>
      <c r="P128" s="1899"/>
      <c r="Q128" s="1719"/>
      <c r="R128" s="1900"/>
      <c r="S128" s="1901" t="str">
        <f t="shared" si="46"/>
        <v/>
      </c>
      <c r="T128" s="2263"/>
      <c r="U128" s="1423"/>
      <c r="V128" s="1423"/>
      <c r="W128" s="1423"/>
      <c r="X128" s="1434"/>
    </row>
    <row r="129" spans="1:24" s="1417" customFormat="1" ht="13.8">
      <c r="A129" s="1416"/>
      <c r="B129" s="1902" t="s">
        <v>4169</v>
      </c>
      <c r="C129" s="1903" t="s">
        <v>4170</v>
      </c>
      <c r="D129" s="1889" t="s">
        <v>36</v>
      </c>
      <c r="E129" s="1747">
        <v>340</v>
      </c>
      <c r="F129" s="1747">
        <v>238.62</v>
      </c>
      <c r="G129" s="1890">
        <v>247.32</v>
      </c>
      <c r="H129" s="1891">
        <f t="shared" ref="H129" si="83">+E129*F129</f>
        <v>81130.8</v>
      </c>
      <c r="I129" s="1891">
        <f t="shared" si="44"/>
        <v>84088.8</v>
      </c>
      <c r="J129" s="1893">
        <v>0</v>
      </c>
      <c r="K129" s="1894">
        <v>0</v>
      </c>
      <c r="L129" s="1895"/>
      <c r="M129" s="1896">
        <f t="shared" si="52"/>
        <v>0</v>
      </c>
      <c r="N129" s="1897">
        <f t="shared" ref="N129" si="84">J129+L129</f>
        <v>0</v>
      </c>
      <c r="O129" s="1898">
        <f>N129*G129</f>
        <v>0</v>
      </c>
      <c r="P129" s="1899">
        <f>+IF(D129=0,"",O129/I129)</f>
        <v>0</v>
      </c>
      <c r="Q129" s="1719">
        <f t="shared" ref="Q129" si="85">E129-N129</f>
        <v>340</v>
      </c>
      <c r="R129" s="1900">
        <f>ROUND((Q129*G129),2)</f>
        <v>84088.8</v>
      </c>
      <c r="S129" s="1901">
        <f>+IF(I129=0,"",R129/I129)</f>
        <v>1</v>
      </c>
      <c r="T129" s="2263"/>
      <c r="U129" s="1423"/>
      <c r="V129" s="1423"/>
      <c r="W129" s="1423"/>
      <c r="X129" s="1434"/>
    </row>
    <row r="130" spans="1:24" s="1417" customFormat="1" ht="13.8">
      <c r="A130" s="1429"/>
      <c r="B130" s="2305" t="s">
        <v>4171</v>
      </c>
      <c r="C130" s="2306" t="s">
        <v>4172</v>
      </c>
      <c r="D130" s="1889"/>
      <c r="E130" s="1747"/>
      <c r="F130" s="1747"/>
      <c r="G130" s="1890"/>
      <c r="H130" s="1891"/>
      <c r="I130" s="1891">
        <f t="shared" si="44"/>
        <v>0</v>
      </c>
      <c r="J130" s="1893"/>
      <c r="K130" s="1894"/>
      <c r="L130" s="1895"/>
      <c r="M130" s="1896"/>
      <c r="N130" s="1897"/>
      <c r="O130" s="1898"/>
      <c r="P130" s="1899"/>
      <c r="Q130" s="1719"/>
      <c r="R130" s="1900"/>
      <c r="S130" s="1901" t="str">
        <f t="shared" si="46"/>
        <v/>
      </c>
      <c r="T130" s="2263"/>
      <c r="U130" s="1423"/>
      <c r="V130" s="1423"/>
      <c r="W130" s="1423"/>
      <c r="X130" s="1434"/>
    </row>
    <row r="131" spans="1:24" s="1417" customFormat="1" ht="13.8">
      <c r="B131" s="1902" t="s">
        <v>4173</v>
      </c>
      <c r="C131" s="1903" t="s">
        <v>4174</v>
      </c>
      <c r="D131" s="1889" t="s">
        <v>36</v>
      </c>
      <c r="E131" s="1747">
        <v>6</v>
      </c>
      <c r="F131" s="1747">
        <v>98.13</v>
      </c>
      <c r="G131" s="1890">
        <v>100.32</v>
      </c>
      <c r="H131" s="1891">
        <f t="shared" ref="H131:H135" si="86">+E131*F131</f>
        <v>588.78</v>
      </c>
      <c r="I131" s="1891">
        <f t="shared" si="44"/>
        <v>601.91999999999996</v>
      </c>
      <c r="J131" s="1893">
        <v>0</v>
      </c>
      <c r="K131" s="1894">
        <v>0</v>
      </c>
      <c r="L131" s="1895"/>
      <c r="M131" s="1896">
        <f t="shared" si="52"/>
        <v>0</v>
      </c>
      <c r="N131" s="1897">
        <f t="shared" ref="N131:N135" si="87">J131+L131</f>
        <v>0</v>
      </c>
      <c r="O131" s="1898">
        <f t="shared" ref="O131:O135" si="88">N131*G131</f>
        <v>0</v>
      </c>
      <c r="P131" s="1899">
        <f t="shared" ref="P131:P135" si="89">+IF(D131=0,"",O131/I131)</f>
        <v>0</v>
      </c>
      <c r="Q131" s="1719">
        <f t="shared" ref="Q131:Q135" si="90">E131-N131</f>
        <v>6</v>
      </c>
      <c r="R131" s="1900">
        <f t="shared" ref="R131:R135" si="91">ROUND((Q131*G131),2)</f>
        <v>601.91999999999996</v>
      </c>
      <c r="S131" s="1901">
        <f t="shared" ref="S131:S135" si="92">+IF(I131=0,"",R131/I131)</f>
        <v>1</v>
      </c>
      <c r="T131" s="2263"/>
      <c r="U131" s="1423"/>
      <c r="V131" s="1423"/>
      <c r="W131" s="1423"/>
      <c r="X131" s="1434"/>
    </row>
    <row r="132" spans="1:24" s="1417" customFormat="1" ht="13.8">
      <c r="A132" s="1429"/>
      <c r="B132" s="1902" t="s">
        <v>4175</v>
      </c>
      <c r="C132" s="1903" t="s">
        <v>4176</v>
      </c>
      <c r="D132" s="1889" t="s">
        <v>36</v>
      </c>
      <c r="E132" s="1747">
        <v>3</v>
      </c>
      <c r="F132" s="1747">
        <v>349.74</v>
      </c>
      <c r="G132" s="1890">
        <v>357.39</v>
      </c>
      <c r="H132" s="1891">
        <f t="shared" si="86"/>
        <v>1049.22</v>
      </c>
      <c r="I132" s="1891">
        <f t="shared" si="44"/>
        <v>1072.17</v>
      </c>
      <c r="J132" s="1893">
        <v>0</v>
      </c>
      <c r="K132" s="1894">
        <v>0</v>
      </c>
      <c r="L132" s="1895"/>
      <c r="M132" s="1896">
        <f t="shared" si="52"/>
        <v>0</v>
      </c>
      <c r="N132" s="1897">
        <f t="shared" si="87"/>
        <v>0</v>
      </c>
      <c r="O132" s="1898">
        <f t="shared" si="88"/>
        <v>0</v>
      </c>
      <c r="P132" s="1899">
        <f t="shared" si="89"/>
        <v>0</v>
      </c>
      <c r="Q132" s="1719">
        <f t="shared" si="90"/>
        <v>3</v>
      </c>
      <c r="R132" s="1900">
        <f t="shared" si="91"/>
        <v>1072.17</v>
      </c>
      <c r="S132" s="1901">
        <f t="shared" si="92"/>
        <v>1</v>
      </c>
      <c r="T132" s="2263"/>
      <c r="U132" s="1423"/>
      <c r="V132" s="1423"/>
      <c r="W132" s="1423"/>
      <c r="X132" s="1434"/>
    </row>
    <row r="133" spans="1:24" s="1417" customFormat="1" ht="13.8">
      <c r="A133" s="1429"/>
      <c r="B133" s="1902" t="s">
        <v>4177</v>
      </c>
      <c r="C133" s="1903" t="s">
        <v>4178</v>
      </c>
      <c r="D133" s="1889" t="s">
        <v>36</v>
      </c>
      <c r="E133" s="1747">
        <v>6</v>
      </c>
      <c r="F133" s="1747">
        <v>65.05</v>
      </c>
      <c r="G133" s="1890">
        <v>65.819999999999993</v>
      </c>
      <c r="H133" s="1891">
        <f t="shared" si="86"/>
        <v>390.29999999999995</v>
      </c>
      <c r="I133" s="1891">
        <f t="shared" si="44"/>
        <v>394.92</v>
      </c>
      <c r="J133" s="1893">
        <v>0</v>
      </c>
      <c r="K133" s="1894">
        <v>0</v>
      </c>
      <c r="L133" s="1895"/>
      <c r="M133" s="1896">
        <f t="shared" si="52"/>
        <v>0</v>
      </c>
      <c r="N133" s="1897">
        <f t="shared" si="87"/>
        <v>0</v>
      </c>
      <c r="O133" s="1898">
        <f t="shared" si="88"/>
        <v>0</v>
      </c>
      <c r="P133" s="1899">
        <f t="shared" si="89"/>
        <v>0</v>
      </c>
      <c r="Q133" s="1719">
        <f t="shared" si="90"/>
        <v>6</v>
      </c>
      <c r="R133" s="1900">
        <f t="shared" si="91"/>
        <v>394.92</v>
      </c>
      <c r="S133" s="1901">
        <f t="shared" si="92"/>
        <v>1</v>
      </c>
      <c r="T133" s="2263"/>
      <c r="U133" s="1423"/>
      <c r="V133" s="1423"/>
      <c r="W133" s="1423"/>
      <c r="X133" s="1434"/>
    </row>
    <row r="134" spans="1:24" s="1417" customFormat="1" ht="13.8">
      <c r="B134" s="1902" t="s">
        <v>4179</v>
      </c>
      <c r="C134" s="1903" t="s">
        <v>4180</v>
      </c>
      <c r="D134" s="1889" t="s">
        <v>38</v>
      </c>
      <c r="E134" s="1747">
        <v>21.3</v>
      </c>
      <c r="F134" s="1747">
        <v>25.89</v>
      </c>
      <c r="G134" s="1890">
        <v>26.39</v>
      </c>
      <c r="H134" s="1891">
        <f t="shared" si="86"/>
        <v>551.45699999999999</v>
      </c>
      <c r="I134" s="1891">
        <f t="shared" si="44"/>
        <v>562.11</v>
      </c>
      <c r="J134" s="1893">
        <v>0</v>
      </c>
      <c r="K134" s="1894">
        <v>0</v>
      </c>
      <c r="L134" s="1895"/>
      <c r="M134" s="1896">
        <f t="shared" si="52"/>
        <v>0</v>
      </c>
      <c r="N134" s="1897">
        <f t="shared" si="87"/>
        <v>0</v>
      </c>
      <c r="O134" s="1898">
        <f t="shared" si="88"/>
        <v>0</v>
      </c>
      <c r="P134" s="1899">
        <f t="shared" si="89"/>
        <v>0</v>
      </c>
      <c r="Q134" s="1719">
        <f t="shared" si="90"/>
        <v>21.3</v>
      </c>
      <c r="R134" s="1900">
        <f t="shared" si="91"/>
        <v>562.11</v>
      </c>
      <c r="S134" s="1901">
        <f t="shared" si="92"/>
        <v>1</v>
      </c>
      <c r="T134" s="2263"/>
      <c r="U134" s="1423"/>
      <c r="V134" s="1423"/>
      <c r="W134" s="1423"/>
      <c r="X134" s="1434"/>
    </row>
    <row r="135" spans="1:24" s="1417" customFormat="1" ht="13.8">
      <c r="A135" s="1416"/>
      <c r="B135" s="1902" t="s">
        <v>4181</v>
      </c>
      <c r="C135" s="1903" t="s">
        <v>4145</v>
      </c>
      <c r="D135" s="1889" t="s">
        <v>38</v>
      </c>
      <c r="E135" s="1747">
        <v>3.55</v>
      </c>
      <c r="F135" s="1747">
        <v>38.06</v>
      </c>
      <c r="G135" s="1890">
        <v>38.450000000000003</v>
      </c>
      <c r="H135" s="1891">
        <f t="shared" si="86"/>
        <v>135.113</v>
      </c>
      <c r="I135" s="1891">
        <f t="shared" si="44"/>
        <v>136.5</v>
      </c>
      <c r="J135" s="1893">
        <v>0</v>
      </c>
      <c r="K135" s="1894">
        <v>0</v>
      </c>
      <c r="L135" s="1895"/>
      <c r="M135" s="1896">
        <f t="shared" si="52"/>
        <v>0</v>
      </c>
      <c r="N135" s="1897">
        <f t="shared" si="87"/>
        <v>0</v>
      </c>
      <c r="O135" s="1898">
        <f t="shared" si="88"/>
        <v>0</v>
      </c>
      <c r="P135" s="1899">
        <f t="shared" si="89"/>
        <v>0</v>
      </c>
      <c r="Q135" s="1719">
        <f t="shared" si="90"/>
        <v>3.55</v>
      </c>
      <c r="R135" s="1900">
        <f t="shared" si="91"/>
        <v>136.5</v>
      </c>
      <c r="S135" s="1901">
        <f t="shared" si="92"/>
        <v>1</v>
      </c>
      <c r="T135" s="2263"/>
      <c r="U135" s="1423"/>
      <c r="V135" s="1423"/>
      <c r="W135" s="1423"/>
      <c r="X135" s="1434"/>
    </row>
    <row r="136" spans="1:24" s="1417" customFormat="1" ht="13.8">
      <c r="A136" s="1429"/>
      <c r="B136" s="2303" t="s">
        <v>4182</v>
      </c>
      <c r="C136" s="2304" t="s">
        <v>4029</v>
      </c>
      <c r="D136" s="1889"/>
      <c r="E136" s="1747"/>
      <c r="F136" s="1747"/>
      <c r="G136" s="1890"/>
      <c r="H136" s="1891"/>
      <c r="I136" s="1891">
        <f t="shared" si="44"/>
        <v>0</v>
      </c>
      <c r="J136" s="1893"/>
      <c r="K136" s="1894"/>
      <c r="L136" s="1895"/>
      <c r="M136" s="1896"/>
      <c r="N136" s="1897"/>
      <c r="O136" s="1898"/>
      <c r="P136" s="1899"/>
      <c r="Q136" s="1719"/>
      <c r="R136" s="1900"/>
      <c r="S136" s="1901" t="str">
        <f t="shared" si="46"/>
        <v/>
      </c>
      <c r="T136" s="2263"/>
      <c r="U136" s="1423"/>
      <c r="V136" s="1423"/>
      <c r="W136" s="1423"/>
      <c r="X136" s="1434"/>
    </row>
    <row r="137" spans="1:24" s="1417" customFormat="1" ht="13.8">
      <c r="B137" s="1902" t="s">
        <v>4183</v>
      </c>
      <c r="C137" s="1903" t="s">
        <v>4184</v>
      </c>
      <c r="D137" s="1889" t="s">
        <v>36</v>
      </c>
      <c r="E137" s="1747">
        <v>9</v>
      </c>
      <c r="F137" s="1747">
        <v>322.93</v>
      </c>
      <c r="G137" s="1890">
        <v>331.72</v>
      </c>
      <c r="H137" s="1891">
        <f t="shared" ref="H137:H138" si="93">+E137*F137</f>
        <v>2906.37</v>
      </c>
      <c r="I137" s="1891">
        <f t="shared" si="44"/>
        <v>2985.48</v>
      </c>
      <c r="J137" s="1893">
        <v>0</v>
      </c>
      <c r="K137" s="1894">
        <v>0</v>
      </c>
      <c r="L137" s="1895"/>
      <c r="M137" s="1896">
        <f t="shared" si="52"/>
        <v>0</v>
      </c>
      <c r="N137" s="1897">
        <f t="shared" ref="N137:N138" si="94">J137+L137</f>
        <v>0</v>
      </c>
      <c r="O137" s="1898">
        <f t="shared" ref="O137:O138" si="95">N137*G137</f>
        <v>0</v>
      </c>
      <c r="P137" s="1899">
        <f t="shared" ref="P137:P138" si="96">+IF(D137=0,"",O137/I137)</f>
        <v>0</v>
      </c>
      <c r="Q137" s="1719">
        <f t="shared" ref="Q137:Q138" si="97">E137-N137</f>
        <v>9</v>
      </c>
      <c r="R137" s="1900">
        <f t="shared" ref="R137:R138" si="98">ROUND((Q137*G137),2)</f>
        <v>2985.48</v>
      </c>
      <c r="S137" s="1901">
        <f t="shared" ref="S137:S138" si="99">+IF(I137=0,"",R137/I137)</f>
        <v>1</v>
      </c>
      <c r="T137" s="2263"/>
      <c r="U137" s="1423"/>
      <c r="V137" s="1423"/>
      <c r="W137" s="1423"/>
      <c r="X137" s="1434"/>
    </row>
    <row r="138" spans="1:24" s="1417" customFormat="1" ht="13.8">
      <c r="A138" s="1416"/>
      <c r="B138" s="1902" t="s">
        <v>4185</v>
      </c>
      <c r="C138" s="1903" t="s">
        <v>4186</v>
      </c>
      <c r="D138" s="1889" t="s">
        <v>38</v>
      </c>
      <c r="E138" s="1747">
        <v>21.3</v>
      </c>
      <c r="F138" s="1747">
        <v>322.26</v>
      </c>
      <c r="G138" s="1890">
        <v>331.05</v>
      </c>
      <c r="H138" s="1891">
        <f t="shared" si="93"/>
        <v>6864.1379999999999</v>
      </c>
      <c r="I138" s="1891">
        <f t="shared" si="44"/>
        <v>7051.37</v>
      </c>
      <c r="J138" s="1893">
        <v>0</v>
      </c>
      <c r="K138" s="1894">
        <v>0</v>
      </c>
      <c r="L138" s="1895"/>
      <c r="M138" s="1896">
        <f t="shared" si="52"/>
        <v>0</v>
      </c>
      <c r="N138" s="1897">
        <f t="shared" si="94"/>
        <v>0</v>
      </c>
      <c r="O138" s="1898">
        <f t="shared" si="95"/>
        <v>0</v>
      </c>
      <c r="P138" s="1899">
        <f t="shared" si="96"/>
        <v>0</v>
      </c>
      <c r="Q138" s="1719">
        <f t="shared" si="97"/>
        <v>21.3</v>
      </c>
      <c r="R138" s="1900">
        <f t="shared" si="98"/>
        <v>7051.37</v>
      </c>
      <c r="S138" s="1901">
        <f t="shared" si="99"/>
        <v>1</v>
      </c>
      <c r="T138" s="2263"/>
      <c r="U138" s="1423"/>
      <c r="V138" s="1423"/>
      <c r="W138" s="1423"/>
      <c r="X138" s="1434"/>
    </row>
    <row r="139" spans="1:24" s="1417" customFormat="1" ht="13.8">
      <c r="A139" s="1429"/>
      <c r="B139" s="2305" t="s">
        <v>4187</v>
      </c>
      <c r="C139" s="2306" t="s">
        <v>4188</v>
      </c>
      <c r="D139" s="1889"/>
      <c r="E139" s="1747"/>
      <c r="F139" s="1747"/>
      <c r="G139" s="1890"/>
      <c r="H139" s="1891"/>
      <c r="I139" s="1891">
        <f t="shared" si="44"/>
        <v>0</v>
      </c>
      <c r="J139" s="1893"/>
      <c r="K139" s="1894"/>
      <c r="L139" s="1895"/>
      <c r="M139" s="1896"/>
      <c r="N139" s="1897"/>
      <c r="O139" s="1898"/>
      <c r="P139" s="1899"/>
      <c r="Q139" s="1719"/>
      <c r="R139" s="1900"/>
      <c r="S139" s="1901" t="str">
        <f t="shared" si="46"/>
        <v/>
      </c>
      <c r="T139" s="2263"/>
      <c r="U139" s="1423"/>
      <c r="V139" s="1423"/>
      <c r="W139" s="1423"/>
      <c r="X139" s="1434"/>
    </row>
    <row r="140" spans="1:24" s="1417" customFormat="1" ht="13.8">
      <c r="B140" s="1902" t="s">
        <v>4189</v>
      </c>
      <c r="C140" s="1903" t="s">
        <v>4190</v>
      </c>
      <c r="D140" s="1889" t="s">
        <v>36</v>
      </c>
      <c r="E140" s="1747">
        <v>26</v>
      </c>
      <c r="F140" s="1747">
        <v>185.31</v>
      </c>
      <c r="G140" s="1890">
        <v>188.37</v>
      </c>
      <c r="H140" s="1891">
        <f t="shared" ref="H140:H144" si="100">+E140*F140</f>
        <v>4818.0600000000004</v>
      </c>
      <c r="I140" s="1891">
        <f t="shared" si="44"/>
        <v>4897.62</v>
      </c>
      <c r="J140" s="1893">
        <v>0</v>
      </c>
      <c r="K140" s="1894">
        <v>0</v>
      </c>
      <c r="L140" s="1895"/>
      <c r="M140" s="1896">
        <f t="shared" si="52"/>
        <v>0</v>
      </c>
      <c r="N140" s="1897">
        <f t="shared" ref="N140:N144" si="101">J140+L140</f>
        <v>0</v>
      </c>
      <c r="O140" s="1898">
        <f t="shared" ref="O140:O144" si="102">N140*G140</f>
        <v>0</v>
      </c>
      <c r="P140" s="1899">
        <f t="shared" ref="P140:P144" si="103">+IF(D140=0,"",O140/I140)</f>
        <v>0</v>
      </c>
      <c r="Q140" s="1719">
        <f t="shared" ref="Q140:Q144" si="104">E140-N140</f>
        <v>26</v>
      </c>
      <c r="R140" s="1900">
        <f t="shared" ref="R140:R144" si="105">ROUND((Q140*G140),2)</f>
        <v>4897.62</v>
      </c>
      <c r="S140" s="1901">
        <f t="shared" ref="S140:S144" si="106">+IF(I140=0,"",R140/I140)</f>
        <v>1</v>
      </c>
      <c r="T140" s="2263"/>
      <c r="U140" s="1423"/>
      <c r="V140" s="1423"/>
      <c r="W140" s="1423"/>
      <c r="X140" s="1434"/>
    </row>
    <row r="141" spans="1:24" s="1417" customFormat="1" ht="13.8">
      <c r="A141" s="1429"/>
      <c r="B141" s="1902" t="s">
        <v>4191</v>
      </c>
      <c r="C141" s="1903" t="s">
        <v>4192</v>
      </c>
      <c r="D141" s="1889" t="s">
        <v>36</v>
      </c>
      <c r="E141" s="1747">
        <v>26</v>
      </c>
      <c r="F141" s="1747">
        <v>268.35000000000002</v>
      </c>
      <c r="G141" s="1890">
        <v>271.41000000000003</v>
      </c>
      <c r="H141" s="1891">
        <f t="shared" si="100"/>
        <v>6977.1</v>
      </c>
      <c r="I141" s="1891">
        <f t="shared" si="44"/>
        <v>7056.66</v>
      </c>
      <c r="J141" s="1893">
        <v>0</v>
      </c>
      <c r="K141" s="1894">
        <v>0</v>
      </c>
      <c r="L141" s="1895"/>
      <c r="M141" s="1896">
        <f t="shared" si="52"/>
        <v>0</v>
      </c>
      <c r="N141" s="1897">
        <f t="shared" si="101"/>
        <v>0</v>
      </c>
      <c r="O141" s="1898">
        <f t="shared" si="102"/>
        <v>0</v>
      </c>
      <c r="P141" s="1899">
        <f t="shared" si="103"/>
        <v>0</v>
      </c>
      <c r="Q141" s="1719">
        <f t="shared" si="104"/>
        <v>26</v>
      </c>
      <c r="R141" s="1900">
        <f t="shared" si="105"/>
        <v>7056.66</v>
      </c>
      <c r="S141" s="1901">
        <f t="shared" si="106"/>
        <v>1</v>
      </c>
      <c r="T141" s="2263"/>
      <c r="U141" s="1423"/>
      <c r="V141" s="1423"/>
      <c r="W141" s="1423"/>
      <c r="X141" s="1434"/>
    </row>
    <row r="142" spans="1:24" s="1417" customFormat="1" ht="13.8">
      <c r="A142" s="1429"/>
      <c r="B142" s="1902" t="s">
        <v>4193</v>
      </c>
      <c r="C142" s="1903" t="s">
        <v>4194</v>
      </c>
      <c r="D142" s="1889" t="s">
        <v>36</v>
      </c>
      <c r="E142" s="1747">
        <v>13</v>
      </c>
      <c r="F142" s="1747">
        <v>90.51</v>
      </c>
      <c r="G142" s="1890">
        <v>92.04</v>
      </c>
      <c r="H142" s="1891">
        <f t="shared" si="100"/>
        <v>1176.6300000000001</v>
      </c>
      <c r="I142" s="1891">
        <f t="shared" si="44"/>
        <v>1196.52</v>
      </c>
      <c r="J142" s="1893">
        <v>0</v>
      </c>
      <c r="K142" s="1894">
        <v>0</v>
      </c>
      <c r="L142" s="1895"/>
      <c r="M142" s="1896">
        <f t="shared" si="52"/>
        <v>0</v>
      </c>
      <c r="N142" s="1897">
        <f t="shared" si="101"/>
        <v>0</v>
      </c>
      <c r="O142" s="1898">
        <f t="shared" si="102"/>
        <v>0</v>
      </c>
      <c r="P142" s="1899">
        <f t="shared" si="103"/>
        <v>0</v>
      </c>
      <c r="Q142" s="1719">
        <f t="shared" si="104"/>
        <v>13</v>
      </c>
      <c r="R142" s="1900">
        <f t="shared" si="105"/>
        <v>1196.52</v>
      </c>
      <c r="S142" s="1901">
        <f t="shared" si="106"/>
        <v>1</v>
      </c>
      <c r="T142" s="2263"/>
      <c r="U142" s="1423"/>
      <c r="V142" s="1423"/>
      <c r="W142" s="1423"/>
      <c r="X142" s="1434"/>
    </row>
    <row r="143" spans="1:24" s="1417" customFormat="1" ht="13.8">
      <c r="B143" s="1902" t="s">
        <v>4195</v>
      </c>
      <c r="C143" s="1903" t="s">
        <v>4196</v>
      </c>
      <c r="D143" s="1889" t="s">
        <v>38</v>
      </c>
      <c r="E143" s="1747">
        <v>126.7</v>
      </c>
      <c r="F143" s="1747">
        <v>65.5</v>
      </c>
      <c r="G143" s="1890">
        <v>66</v>
      </c>
      <c r="H143" s="1891">
        <f t="shared" si="100"/>
        <v>8298.85</v>
      </c>
      <c r="I143" s="1891">
        <f t="shared" si="44"/>
        <v>8362.2000000000007</v>
      </c>
      <c r="J143" s="1893">
        <v>0</v>
      </c>
      <c r="K143" s="1894">
        <v>0</v>
      </c>
      <c r="L143" s="1895"/>
      <c r="M143" s="1896">
        <f t="shared" si="52"/>
        <v>0</v>
      </c>
      <c r="N143" s="1897">
        <f t="shared" si="101"/>
        <v>0</v>
      </c>
      <c r="O143" s="1898">
        <f t="shared" si="102"/>
        <v>0</v>
      </c>
      <c r="P143" s="1899">
        <f t="shared" si="103"/>
        <v>0</v>
      </c>
      <c r="Q143" s="1719">
        <f t="shared" si="104"/>
        <v>126.7</v>
      </c>
      <c r="R143" s="1900">
        <f t="shared" si="105"/>
        <v>8362.2000000000007</v>
      </c>
      <c r="S143" s="1901">
        <f t="shared" si="106"/>
        <v>1</v>
      </c>
      <c r="T143" s="2263"/>
      <c r="U143" s="1423"/>
      <c r="V143" s="1423"/>
      <c r="W143" s="1423"/>
      <c r="X143" s="1434"/>
    </row>
    <row r="144" spans="1:24" s="1417" customFormat="1" ht="13.8">
      <c r="A144" s="1416"/>
      <c r="B144" s="1902" t="s">
        <v>4197</v>
      </c>
      <c r="C144" s="1903" t="s">
        <v>4198</v>
      </c>
      <c r="D144" s="1889" t="s">
        <v>38</v>
      </c>
      <c r="E144" s="1747">
        <v>288</v>
      </c>
      <c r="F144" s="1747">
        <v>57.6</v>
      </c>
      <c r="G144" s="1890">
        <v>58.1</v>
      </c>
      <c r="H144" s="1891">
        <f t="shared" si="100"/>
        <v>16588.8</v>
      </c>
      <c r="I144" s="1891">
        <f t="shared" si="44"/>
        <v>16732.8</v>
      </c>
      <c r="J144" s="1893">
        <v>0</v>
      </c>
      <c r="K144" s="1894">
        <v>0</v>
      </c>
      <c r="L144" s="1895"/>
      <c r="M144" s="1896">
        <f t="shared" si="52"/>
        <v>0</v>
      </c>
      <c r="N144" s="1897">
        <f t="shared" si="101"/>
        <v>0</v>
      </c>
      <c r="O144" s="1898">
        <f t="shared" si="102"/>
        <v>0</v>
      </c>
      <c r="P144" s="1899">
        <f t="shared" si="103"/>
        <v>0</v>
      </c>
      <c r="Q144" s="1719">
        <f t="shared" si="104"/>
        <v>288</v>
      </c>
      <c r="R144" s="1900">
        <f t="shared" si="105"/>
        <v>16732.8</v>
      </c>
      <c r="S144" s="1901">
        <f t="shared" si="106"/>
        <v>1</v>
      </c>
      <c r="T144" s="2263"/>
      <c r="U144" s="1423"/>
      <c r="V144" s="1423"/>
      <c r="W144" s="1423"/>
      <c r="X144" s="1434"/>
    </row>
    <row r="145" spans="1:24" s="1417" customFormat="1" ht="13.8">
      <c r="A145" s="1429"/>
      <c r="B145" s="2303" t="s">
        <v>4199</v>
      </c>
      <c r="C145" s="2304" t="s">
        <v>4029</v>
      </c>
      <c r="D145" s="1889"/>
      <c r="E145" s="1747"/>
      <c r="F145" s="1747"/>
      <c r="G145" s="1890"/>
      <c r="H145" s="1891"/>
      <c r="I145" s="1891">
        <f t="shared" si="44"/>
        <v>0</v>
      </c>
      <c r="J145" s="1893"/>
      <c r="K145" s="1894"/>
      <c r="L145" s="1895"/>
      <c r="M145" s="1896"/>
      <c r="N145" s="1897"/>
      <c r="O145" s="1898"/>
      <c r="P145" s="1899"/>
      <c r="Q145" s="1719"/>
      <c r="R145" s="1900"/>
      <c r="S145" s="1901" t="str">
        <f t="shared" si="46"/>
        <v/>
      </c>
      <c r="T145" s="2263"/>
      <c r="U145" s="1423"/>
      <c r="V145" s="1423"/>
      <c r="W145" s="1423"/>
      <c r="X145" s="1434"/>
    </row>
    <row r="146" spans="1:24" s="1417" customFormat="1" ht="13.8">
      <c r="B146" s="1902" t="s">
        <v>4200</v>
      </c>
      <c r="C146" s="1903" t="s">
        <v>4201</v>
      </c>
      <c r="D146" s="1889" t="s">
        <v>36</v>
      </c>
      <c r="E146" s="1747">
        <v>39</v>
      </c>
      <c r="F146" s="1747">
        <v>72.56</v>
      </c>
      <c r="G146" s="1890">
        <v>75.53</v>
      </c>
      <c r="H146" s="1891">
        <f t="shared" ref="H146" si="107">+E146*F146</f>
        <v>2829.84</v>
      </c>
      <c r="I146" s="1891">
        <f t="shared" si="44"/>
        <v>2945.67</v>
      </c>
      <c r="J146" s="1893">
        <v>0</v>
      </c>
      <c r="K146" s="1894">
        <v>0</v>
      </c>
      <c r="L146" s="1895"/>
      <c r="M146" s="1896">
        <f t="shared" si="52"/>
        <v>0</v>
      </c>
      <c r="N146" s="1897">
        <f t="shared" ref="N146" si="108">J146+L146</f>
        <v>0</v>
      </c>
      <c r="O146" s="1898">
        <f>N146*G146</f>
        <v>0</v>
      </c>
      <c r="P146" s="1899">
        <f>+IF(D146=0,"",O146/I146)</f>
        <v>0</v>
      </c>
      <c r="Q146" s="1719">
        <f t="shared" ref="Q146" si="109">E146-N146</f>
        <v>39</v>
      </c>
      <c r="R146" s="1900">
        <f>ROUND((Q146*G146),2)</f>
        <v>2945.67</v>
      </c>
      <c r="S146" s="1901">
        <f>+IF(I146=0,"",R146/I146)</f>
        <v>1</v>
      </c>
      <c r="T146" s="2263"/>
      <c r="U146" s="1423"/>
      <c r="V146" s="1423"/>
      <c r="W146" s="1423"/>
      <c r="X146" s="1434"/>
    </row>
    <row r="147" spans="1:24" s="1417" customFormat="1" ht="13.8">
      <c r="A147" s="1416"/>
      <c r="B147" s="2309" t="s">
        <v>551</v>
      </c>
      <c r="C147" s="2310" t="s">
        <v>3137</v>
      </c>
      <c r="D147" s="1889"/>
      <c r="E147" s="1747"/>
      <c r="F147" s="1747"/>
      <c r="G147" s="1890"/>
      <c r="H147" s="1891"/>
      <c r="I147" s="1891">
        <f t="shared" si="44"/>
        <v>0</v>
      </c>
      <c r="J147" s="1893"/>
      <c r="K147" s="1894"/>
      <c r="L147" s="1895"/>
      <c r="M147" s="1896"/>
      <c r="N147" s="1897"/>
      <c r="O147" s="1898"/>
      <c r="P147" s="1899"/>
      <c r="Q147" s="1719"/>
      <c r="R147" s="1900"/>
      <c r="S147" s="1901" t="str">
        <f t="shared" ref="S147:S189" si="110">+IF(H147=0,"",R147/H147)</f>
        <v/>
      </c>
      <c r="T147" s="2263"/>
      <c r="U147" s="1423"/>
      <c r="V147" s="1423"/>
      <c r="W147" s="1423"/>
      <c r="X147" s="1434"/>
    </row>
    <row r="148" spans="1:24" s="1417" customFormat="1" ht="13.8">
      <c r="A148" s="1429"/>
      <c r="B148" s="1902" t="s">
        <v>552</v>
      </c>
      <c r="C148" s="1903" t="s">
        <v>4202</v>
      </c>
      <c r="D148" s="1889" t="s">
        <v>37</v>
      </c>
      <c r="E148" s="1747">
        <v>450.38</v>
      </c>
      <c r="F148" s="1747">
        <v>90.15</v>
      </c>
      <c r="G148" s="1890">
        <v>91.24</v>
      </c>
      <c r="H148" s="1891">
        <f t="shared" ref="H148" si="111">+E148*F148</f>
        <v>40601.757000000005</v>
      </c>
      <c r="I148" s="1891">
        <f t="shared" si="44"/>
        <v>41092.67</v>
      </c>
      <c r="J148" s="1893">
        <v>0</v>
      </c>
      <c r="K148" s="1894">
        <v>0</v>
      </c>
      <c r="L148" s="1895"/>
      <c r="M148" s="1896">
        <f t="shared" si="52"/>
        <v>0</v>
      </c>
      <c r="N148" s="1897">
        <f t="shared" ref="N148" si="112">J148+L148</f>
        <v>0</v>
      </c>
      <c r="O148" s="1898">
        <f>N148*G148</f>
        <v>0</v>
      </c>
      <c r="P148" s="1899">
        <f>+IF(D148=0,"",O148/I148)</f>
        <v>0</v>
      </c>
      <c r="Q148" s="1719">
        <f t="shared" ref="Q148" si="113">E148-N148</f>
        <v>450.38</v>
      </c>
      <c r="R148" s="1900">
        <f>ROUND((Q148*G148),2)</f>
        <v>41092.67</v>
      </c>
      <c r="S148" s="1901">
        <f>+IF(I148=0,"",R148/I148)</f>
        <v>1</v>
      </c>
      <c r="T148" s="2263"/>
      <c r="U148" s="1423"/>
      <c r="V148" s="1423"/>
      <c r="W148" s="1423"/>
      <c r="X148" s="1434"/>
    </row>
    <row r="149" spans="1:24" s="1417" customFormat="1" ht="13.8">
      <c r="B149" s="2309" t="s">
        <v>4203</v>
      </c>
      <c r="C149" s="2310" t="s">
        <v>4204</v>
      </c>
      <c r="D149" s="1889"/>
      <c r="E149" s="1747"/>
      <c r="F149" s="1747"/>
      <c r="G149" s="1890"/>
      <c r="H149" s="1891"/>
      <c r="I149" s="1891">
        <f t="shared" ref="I149:I190" si="114">ROUND(E149*G149,2)</f>
        <v>0</v>
      </c>
      <c r="J149" s="1893"/>
      <c r="K149" s="1894"/>
      <c r="L149" s="1895"/>
      <c r="M149" s="1896"/>
      <c r="N149" s="1897"/>
      <c r="O149" s="1898"/>
      <c r="P149" s="1899"/>
      <c r="Q149" s="1719"/>
      <c r="R149" s="1900"/>
      <c r="S149" s="1901" t="str">
        <f t="shared" si="110"/>
        <v/>
      </c>
      <c r="T149" s="2263"/>
      <c r="U149" s="1423"/>
      <c r="V149" s="1423"/>
      <c r="W149" s="1423"/>
      <c r="X149" s="1434"/>
    </row>
    <row r="150" spans="1:24" s="1417" customFormat="1" ht="13.8">
      <c r="A150" s="1429"/>
      <c r="B150" s="1902" t="s">
        <v>2285</v>
      </c>
      <c r="C150" s="1903" t="s">
        <v>4205</v>
      </c>
      <c r="D150" s="1889" t="s">
        <v>41</v>
      </c>
      <c r="E150" s="1747">
        <v>9</v>
      </c>
      <c r="F150" s="1747">
        <v>500</v>
      </c>
      <c r="G150" s="1890">
        <v>500</v>
      </c>
      <c r="H150" s="1891">
        <f t="shared" ref="H150" si="115">+E150*F150</f>
        <v>4500</v>
      </c>
      <c r="I150" s="1891">
        <f t="shared" si="114"/>
        <v>4500</v>
      </c>
      <c r="J150" s="1893">
        <v>0</v>
      </c>
      <c r="K150" s="1894">
        <v>0</v>
      </c>
      <c r="L150" s="1895"/>
      <c r="M150" s="1896">
        <f t="shared" si="52"/>
        <v>0</v>
      </c>
      <c r="N150" s="1897">
        <f t="shared" ref="N150" si="116">J150+L150</f>
        <v>0</v>
      </c>
      <c r="O150" s="1898">
        <f>N150*G150</f>
        <v>0</v>
      </c>
      <c r="P150" s="1899">
        <f>+IF(D150=0,"",O150/I150)</f>
        <v>0</v>
      </c>
      <c r="Q150" s="1719">
        <f t="shared" ref="Q150" si="117">E150-N150</f>
        <v>9</v>
      </c>
      <c r="R150" s="1900">
        <f>ROUND((Q150*G150),2)</f>
        <v>4500</v>
      </c>
      <c r="S150" s="1901">
        <f>+IF(I150=0,"",R150/I150)</f>
        <v>1</v>
      </c>
      <c r="T150" s="2263"/>
      <c r="U150" s="1423"/>
      <c r="V150" s="1423"/>
      <c r="W150" s="1423"/>
      <c r="X150" s="1434"/>
    </row>
    <row r="151" spans="1:24" s="1417" customFormat="1" ht="13.8">
      <c r="A151" s="1429"/>
      <c r="B151" s="2311" t="s">
        <v>42</v>
      </c>
      <c r="C151" s="2312" t="s">
        <v>1234</v>
      </c>
      <c r="D151" s="1889"/>
      <c r="E151" s="1747"/>
      <c r="F151" s="1747"/>
      <c r="G151" s="1890"/>
      <c r="H151" s="1891"/>
      <c r="I151" s="1891">
        <f t="shared" si="114"/>
        <v>0</v>
      </c>
      <c r="J151" s="1893"/>
      <c r="K151" s="1894"/>
      <c r="L151" s="1895"/>
      <c r="M151" s="1896"/>
      <c r="N151" s="1897"/>
      <c r="O151" s="1898"/>
      <c r="P151" s="1899"/>
      <c r="Q151" s="1719"/>
      <c r="R151" s="1900"/>
      <c r="S151" s="1901"/>
      <c r="T151" s="2263"/>
      <c r="U151" s="1423"/>
      <c r="V151" s="1423"/>
      <c r="W151" s="1423"/>
      <c r="X151" s="1434"/>
    </row>
    <row r="152" spans="1:24" s="1417" customFormat="1" ht="13.8">
      <c r="B152" s="2309" t="s">
        <v>43</v>
      </c>
      <c r="C152" s="2310" t="s">
        <v>3073</v>
      </c>
      <c r="D152" s="1889"/>
      <c r="E152" s="1747"/>
      <c r="F152" s="1747"/>
      <c r="G152" s="1890"/>
      <c r="H152" s="1891"/>
      <c r="I152" s="1891">
        <f t="shared" si="114"/>
        <v>0</v>
      </c>
      <c r="J152" s="1893"/>
      <c r="K152" s="1894"/>
      <c r="L152" s="1895"/>
      <c r="M152" s="1896"/>
      <c r="N152" s="1897"/>
      <c r="O152" s="1898"/>
      <c r="P152" s="1899"/>
      <c r="Q152" s="1719"/>
      <c r="R152" s="1900"/>
      <c r="S152" s="1901" t="str">
        <f t="shared" si="110"/>
        <v/>
      </c>
      <c r="T152" s="2263"/>
      <c r="U152" s="1423"/>
      <c r="V152" s="1423"/>
      <c r="W152" s="1423"/>
      <c r="X152" s="1434"/>
    </row>
    <row r="153" spans="1:24" s="1417" customFormat="1" ht="13.8">
      <c r="A153" s="1416"/>
      <c r="B153" s="1902" t="s">
        <v>53</v>
      </c>
      <c r="C153" s="1903" t="s">
        <v>4206</v>
      </c>
      <c r="D153" s="1889" t="s">
        <v>37</v>
      </c>
      <c r="E153" s="1747">
        <v>76.47</v>
      </c>
      <c r="F153" s="1747">
        <v>421.08</v>
      </c>
      <c r="G153" s="1890">
        <v>421.08</v>
      </c>
      <c r="H153" s="1891">
        <f t="shared" ref="H153" si="118">+E153*F153</f>
        <v>32199.987599999997</v>
      </c>
      <c r="I153" s="1891">
        <f t="shared" si="114"/>
        <v>32199.99</v>
      </c>
      <c r="J153" s="1893">
        <v>0</v>
      </c>
      <c r="K153" s="1894">
        <v>0</v>
      </c>
      <c r="L153" s="1895"/>
      <c r="M153" s="1896">
        <f t="shared" ref="M153" si="119">L153*G153</f>
        <v>0</v>
      </c>
      <c r="N153" s="1897">
        <f t="shared" ref="N153" si="120">J153+L153</f>
        <v>0</v>
      </c>
      <c r="O153" s="1898">
        <f>N153*G153</f>
        <v>0</v>
      </c>
      <c r="P153" s="1899">
        <f>+IF(D153=0,"",O153/I153)</f>
        <v>0</v>
      </c>
      <c r="Q153" s="1719">
        <f t="shared" ref="Q153" si="121">E153-N153</f>
        <v>76.47</v>
      </c>
      <c r="R153" s="1900">
        <f>ROUND((Q153*G153),2)</f>
        <v>32199.99</v>
      </c>
      <c r="S153" s="1901">
        <f>+IF(I153=0,"",R153/I153)</f>
        <v>1</v>
      </c>
      <c r="T153" s="2263"/>
      <c r="U153" s="1423"/>
      <c r="V153" s="1423"/>
      <c r="W153" s="1423"/>
      <c r="X153" s="1434"/>
    </row>
    <row r="154" spans="1:24" s="1417" customFormat="1" ht="13.8">
      <c r="A154" s="1429"/>
      <c r="B154" s="2309" t="s">
        <v>44</v>
      </c>
      <c r="C154" s="2310" t="s">
        <v>3104</v>
      </c>
      <c r="D154" s="1889"/>
      <c r="E154" s="1747"/>
      <c r="F154" s="1747"/>
      <c r="G154" s="1890"/>
      <c r="H154" s="1891"/>
      <c r="I154" s="1891">
        <f t="shared" si="114"/>
        <v>0</v>
      </c>
      <c r="J154" s="1893"/>
      <c r="K154" s="1894"/>
      <c r="L154" s="1895"/>
      <c r="M154" s="1896"/>
      <c r="N154" s="1897"/>
      <c r="O154" s="1898"/>
      <c r="P154" s="1899"/>
      <c r="Q154" s="1719"/>
      <c r="R154" s="1900"/>
      <c r="S154" s="1901" t="str">
        <f t="shared" si="110"/>
        <v/>
      </c>
      <c r="T154" s="2263"/>
      <c r="U154" s="1423"/>
      <c r="V154" s="1423"/>
      <c r="W154" s="1423"/>
      <c r="X154" s="1434"/>
    </row>
    <row r="155" spans="1:24" s="1417" customFormat="1" ht="13.8">
      <c r="B155" s="1902" t="s">
        <v>54</v>
      </c>
      <c r="C155" s="1903" t="s">
        <v>4207</v>
      </c>
      <c r="D155" s="1889" t="s">
        <v>37</v>
      </c>
      <c r="E155" s="1747">
        <v>361</v>
      </c>
      <c r="F155" s="1747">
        <v>50</v>
      </c>
      <c r="G155" s="1890">
        <v>50</v>
      </c>
      <c r="H155" s="1891">
        <f t="shared" ref="H155:H156" si="122">+E155*F155</f>
        <v>18050</v>
      </c>
      <c r="I155" s="1891">
        <f t="shared" si="114"/>
        <v>18050</v>
      </c>
      <c r="J155" s="1893">
        <v>0</v>
      </c>
      <c r="K155" s="1894">
        <v>0</v>
      </c>
      <c r="L155" s="1895">
        <f>+'[31]RESUMEN DE METRADOS '!$I$27</f>
        <v>361</v>
      </c>
      <c r="M155" s="1896">
        <f t="shared" ref="M155:M156" si="123">L155*G155</f>
        <v>18050</v>
      </c>
      <c r="N155" s="1897">
        <f t="shared" ref="N155:N156" si="124">J155+L155</f>
        <v>361</v>
      </c>
      <c r="O155" s="1898">
        <f t="shared" ref="O155:O156" si="125">N155*G155</f>
        <v>18050</v>
      </c>
      <c r="P155" s="1899">
        <f t="shared" ref="P155:P156" si="126">+IF(D155=0,"",O155/I155)</f>
        <v>1</v>
      </c>
      <c r="Q155" s="1719">
        <f t="shared" ref="Q155:Q156" si="127">E155-N155</f>
        <v>0</v>
      </c>
      <c r="R155" s="1900">
        <f t="shared" ref="R155:R156" si="128">ROUND((Q155*G155),2)</f>
        <v>0</v>
      </c>
      <c r="S155" s="1901">
        <f t="shared" ref="S155:S156" si="129">+IF(I155=0,"",R155/I155)</f>
        <v>0</v>
      </c>
      <c r="T155" s="2263"/>
      <c r="U155" s="1423"/>
      <c r="V155" s="1423"/>
      <c r="W155" s="1423"/>
      <c r="X155" s="1434"/>
    </row>
    <row r="156" spans="1:24" s="1417" customFormat="1" ht="13.8">
      <c r="A156" s="1416"/>
      <c r="B156" s="1902" t="s">
        <v>55</v>
      </c>
      <c r="C156" s="1903" t="s">
        <v>4208</v>
      </c>
      <c r="D156" s="1889" t="s">
        <v>37</v>
      </c>
      <c r="E156" s="1747">
        <v>634.22</v>
      </c>
      <c r="F156" s="1747">
        <v>85.92</v>
      </c>
      <c r="G156" s="1890">
        <v>85.92</v>
      </c>
      <c r="H156" s="1891">
        <f t="shared" si="122"/>
        <v>54492.182400000005</v>
      </c>
      <c r="I156" s="1891">
        <f t="shared" si="114"/>
        <v>54492.18</v>
      </c>
      <c r="J156" s="1893">
        <v>0</v>
      </c>
      <c r="K156" s="1894">
        <v>0</v>
      </c>
      <c r="L156" s="1895">
        <f>+'[31]RESUMEN DE METRADOS '!$I$28</f>
        <v>290.39000000000004</v>
      </c>
      <c r="M156" s="1896">
        <f t="shared" si="123"/>
        <v>24950.308800000003</v>
      </c>
      <c r="N156" s="1897">
        <f t="shared" si="124"/>
        <v>290.39000000000004</v>
      </c>
      <c r="O156" s="1898">
        <f t="shared" si="125"/>
        <v>24950.308800000003</v>
      </c>
      <c r="P156" s="1899">
        <f t="shared" si="126"/>
        <v>0.45786952916913953</v>
      </c>
      <c r="Q156" s="1719">
        <f t="shared" si="127"/>
        <v>343.83</v>
      </c>
      <c r="R156" s="1900">
        <f t="shared" si="128"/>
        <v>29541.87</v>
      </c>
      <c r="S156" s="1901">
        <f t="shared" si="129"/>
        <v>0.54213044880935213</v>
      </c>
      <c r="T156" s="2263"/>
      <c r="U156" s="1423"/>
      <c r="V156" s="1423"/>
      <c r="W156" s="1423"/>
      <c r="X156" s="1434"/>
    </row>
    <row r="157" spans="1:24" s="1417" customFormat="1" ht="13.8">
      <c r="A157" s="1429"/>
      <c r="B157" s="2309" t="s">
        <v>52</v>
      </c>
      <c r="C157" s="2310" t="s">
        <v>3107</v>
      </c>
      <c r="D157" s="1889"/>
      <c r="E157" s="1747"/>
      <c r="F157" s="1747"/>
      <c r="G157" s="1890"/>
      <c r="H157" s="1891"/>
      <c r="I157" s="1891">
        <f t="shared" si="114"/>
        <v>0</v>
      </c>
      <c r="J157" s="1893"/>
      <c r="K157" s="1894"/>
      <c r="L157" s="1895"/>
      <c r="M157" s="1896"/>
      <c r="N157" s="1897"/>
      <c r="O157" s="1898"/>
      <c r="P157" s="1899"/>
      <c r="Q157" s="1719"/>
      <c r="R157" s="1900"/>
      <c r="S157" s="1901" t="str">
        <f t="shared" si="110"/>
        <v/>
      </c>
      <c r="T157" s="2263"/>
      <c r="U157" s="1423"/>
      <c r="V157" s="1423"/>
      <c r="W157" s="1423"/>
      <c r="X157" s="1434"/>
    </row>
    <row r="158" spans="1:24" s="1417" customFormat="1" ht="13.8">
      <c r="B158" s="1902" t="s">
        <v>56</v>
      </c>
      <c r="C158" s="1903" t="s">
        <v>4209</v>
      </c>
      <c r="D158" s="1889" t="s">
        <v>37</v>
      </c>
      <c r="E158" s="1747">
        <v>153.82</v>
      </c>
      <c r="F158" s="1747">
        <v>39.11</v>
      </c>
      <c r="G158" s="1890">
        <v>39.729999999999997</v>
      </c>
      <c r="H158" s="1891">
        <f t="shared" ref="H158:H162" si="130">+E158*F158</f>
        <v>6015.9002</v>
      </c>
      <c r="I158" s="1891">
        <f t="shared" si="114"/>
        <v>6111.27</v>
      </c>
      <c r="J158" s="1893">
        <v>0</v>
      </c>
      <c r="K158" s="1894">
        <v>0</v>
      </c>
      <c r="L158" s="1895"/>
      <c r="M158" s="1896">
        <f t="shared" ref="M158:M162" si="131">L158*G158</f>
        <v>0</v>
      </c>
      <c r="N158" s="1897">
        <f t="shared" ref="N158:N162" si="132">J158+L158</f>
        <v>0</v>
      </c>
      <c r="O158" s="1898">
        <f t="shared" ref="O158:O162" si="133">N158*G158</f>
        <v>0</v>
      </c>
      <c r="P158" s="1899">
        <f t="shared" ref="P158:P162" si="134">+IF(D158=0,"",O158/I158)</f>
        <v>0</v>
      </c>
      <c r="Q158" s="1719">
        <f t="shared" ref="Q158:Q162" si="135">E158-N158</f>
        <v>153.82</v>
      </c>
      <c r="R158" s="1900">
        <f t="shared" ref="R158:R162" si="136">ROUND((Q158*G158),2)</f>
        <v>6111.27</v>
      </c>
      <c r="S158" s="1901">
        <f t="shared" ref="S158:S162" si="137">+IF(I158=0,"",R158/I158)</f>
        <v>1</v>
      </c>
      <c r="T158" s="2263"/>
      <c r="U158" s="1423"/>
      <c r="V158" s="1423"/>
      <c r="W158" s="1423"/>
      <c r="X158" s="1434"/>
    </row>
    <row r="159" spans="1:24" s="1417" customFormat="1" ht="13.8">
      <c r="A159" s="1429"/>
      <c r="B159" s="1902" t="s">
        <v>57</v>
      </c>
      <c r="C159" s="1903" t="s">
        <v>4210</v>
      </c>
      <c r="D159" s="1889" t="s">
        <v>37</v>
      </c>
      <c r="E159" s="1747">
        <v>344.37</v>
      </c>
      <c r="F159" s="1747">
        <v>445.18</v>
      </c>
      <c r="G159" s="1890">
        <v>455.95</v>
      </c>
      <c r="H159" s="1891">
        <f t="shared" si="130"/>
        <v>153306.6366</v>
      </c>
      <c r="I159" s="1891">
        <f t="shared" si="114"/>
        <v>157015.5</v>
      </c>
      <c r="J159" s="1893">
        <v>0</v>
      </c>
      <c r="K159" s="1894">
        <v>0</v>
      </c>
      <c r="L159" s="1895"/>
      <c r="M159" s="1896">
        <f t="shared" si="131"/>
        <v>0</v>
      </c>
      <c r="N159" s="1897">
        <f t="shared" si="132"/>
        <v>0</v>
      </c>
      <c r="O159" s="1898">
        <f t="shared" si="133"/>
        <v>0</v>
      </c>
      <c r="P159" s="1899">
        <f t="shared" si="134"/>
        <v>0</v>
      </c>
      <c r="Q159" s="1719">
        <f t="shared" si="135"/>
        <v>344.37</v>
      </c>
      <c r="R159" s="1900">
        <f t="shared" si="136"/>
        <v>157015.5</v>
      </c>
      <c r="S159" s="1901">
        <f t="shared" si="137"/>
        <v>1</v>
      </c>
      <c r="T159" s="2263"/>
      <c r="U159" s="1423"/>
      <c r="V159" s="1423"/>
      <c r="W159" s="1423"/>
      <c r="X159" s="1434"/>
    </row>
    <row r="160" spans="1:24" s="1417" customFormat="1" ht="13.8">
      <c r="A160" s="1429"/>
      <c r="B160" s="1902" t="s">
        <v>661</v>
      </c>
      <c r="C160" s="1903" t="s">
        <v>4211</v>
      </c>
      <c r="D160" s="1889" t="s">
        <v>37</v>
      </c>
      <c r="E160" s="1747">
        <v>5827.92</v>
      </c>
      <c r="F160" s="1747">
        <v>79.260000000000005</v>
      </c>
      <c r="G160" s="1890">
        <v>80.17</v>
      </c>
      <c r="H160" s="1891">
        <f t="shared" si="130"/>
        <v>461920.93920000002</v>
      </c>
      <c r="I160" s="1891">
        <f t="shared" si="114"/>
        <v>467224.35</v>
      </c>
      <c r="J160" s="1893">
        <v>2456.04</v>
      </c>
      <c r="K160" s="1894">
        <v>196900.7268</v>
      </c>
      <c r="L160" s="1895">
        <f>+'[31]RESUMEN DE METRADOS '!$I$33</f>
        <v>1285.7199999999998</v>
      </c>
      <c r="M160" s="1896">
        <f t="shared" si="131"/>
        <v>103076.17239999998</v>
      </c>
      <c r="N160" s="1897">
        <f t="shared" si="132"/>
        <v>3741.7599999999998</v>
      </c>
      <c r="O160" s="1898">
        <f t="shared" si="133"/>
        <v>299976.89919999999</v>
      </c>
      <c r="P160" s="1899">
        <f t="shared" si="134"/>
        <v>0.64204037995879282</v>
      </c>
      <c r="Q160" s="1719">
        <f t="shared" si="135"/>
        <v>2086.1600000000003</v>
      </c>
      <c r="R160" s="1900">
        <f t="shared" si="136"/>
        <v>167247.45000000001</v>
      </c>
      <c r="S160" s="1901">
        <f t="shared" si="137"/>
        <v>0.35795961832896772</v>
      </c>
      <c r="T160" s="2263"/>
      <c r="U160" s="1423"/>
      <c r="V160" s="1423"/>
      <c r="W160" s="1423"/>
      <c r="X160" s="1434"/>
    </row>
    <row r="161" spans="1:24" s="1417" customFormat="1" ht="13.8">
      <c r="B161" s="1902" t="s">
        <v>690</v>
      </c>
      <c r="C161" s="1903" t="s">
        <v>4212</v>
      </c>
      <c r="D161" s="1889" t="s">
        <v>37</v>
      </c>
      <c r="E161" s="1747">
        <v>376.27</v>
      </c>
      <c r="F161" s="1747">
        <v>69</v>
      </c>
      <c r="G161" s="1890">
        <v>69</v>
      </c>
      <c r="H161" s="1891">
        <f t="shared" si="130"/>
        <v>25962.629999999997</v>
      </c>
      <c r="I161" s="1891">
        <f t="shared" si="114"/>
        <v>25962.63</v>
      </c>
      <c r="J161" s="1893">
        <v>0</v>
      </c>
      <c r="K161" s="1894">
        <v>0</v>
      </c>
      <c r="L161" s="1895"/>
      <c r="M161" s="1896">
        <f t="shared" si="131"/>
        <v>0</v>
      </c>
      <c r="N161" s="1897">
        <f t="shared" si="132"/>
        <v>0</v>
      </c>
      <c r="O161" s="1898">
        <f t="shared" si="133"/>
        <v>0</v>
      </c>
      <c r="P161" s="1899">
        <f t="shared" si="134"/>
        <v>0</v>
      </c>
      <c r="Q161" s="1719">
        <f t="shared" si="135"/>
        <v>376.27</v>
      </c>
      <c r="R161" s="1900">
        <f t="shared" si="136"/>
        <v>25962.63</v>
      </c>
      <c r="S161" s="1901">
        <f t="shared" si="137"/>
        <v>1</v>
      </c>
      <c r="T161" s="2263"/>
      <c r="U161" s="1423"/>
      <c r="V161" s="1423"/>
      <c r="W161" s="1423"/>
      <c r="X161" s="1434"/>
    </row>
    <row r="162" spans="1:24" s="1417" customFormat="1" ht="13.8">
      <c r="A162" s="1416"/>
      <c r="B162" s="1902" t="s">
        <v>692</v>
      </c>
      <c r="C162" s="1903" t="s">
        <v>4213</v>
      </c>
      <c r="D162" s="1889" t="s">
        <v>38</v>
      </c>
      <c r="E162" s="1747">
        <v>2672.1</v>
      </c>
      <c r="F162" s="1747">
        <v>13.71</v>
      </c>
      <c r="G162" s="1890">
        <v>14.28</v>
      </c>
      <c r="H162" s="1891">
        <f t="shared" si="130"/>
        <v>36634.491000000002</v>
      </c>
      <c r="I162" s="1891">
        <f t="shared" si="114"/>
        <v>38157.589999999997</v>
      </c>
      <c r="J162" s="1893">
        <v>2043.26</v>
      </c>
      <c r="K162" s="1894">
        <v>29177.752799999998</v>
      </c>
      <c r="L162" s="1895">
        <f>+'[31]RESUMEN DE METRADOS '!$I$34</f>
        <v>475.57</v>
      </c>
      <c r="M162" s="1896">
        <f t="shared" si="131"/>
        <v>6791.1395999999995</v>
      </c>
      <c r="N162" s="1897">
        <f t="shared" si="132"/>
        <v>2518.83</v>
      </c>
      <c r="O162" s="1898">
        <f t="shared" si="133"/>
        <v>35968.892399999997</v>
      </c>
      <c r="P162" s="1899">
        <f t="shared" si="134"/>
        <v>0.94264057032952031</v>
      </c>
      <c r="Q162" s="1719">
        <f t="shared" si="135"/>
        <v>153.26999999999998</v>
      </c>
      <c r="R162" s="1900">
        <f t="shared" si="136"/>
        <v>2188.6999999999998</v>
      </c>
      <c r="S162" s="1901">
        <f t="shared" si="137"/>
        <v>5.7359492567533747E-2</v>
      </c>
      <c r="T162" s="2263"/>
      <c r="U162" s="1423"/>
      <c r="V162" s="1423"/>
      <c r="W162" s="1423"/>
      <c r="X162" s="1434"/>
    </row>
    <row r="163" spans="1:24" s="1417" customFormat="1" ht="13.8">
      <c r="A163" s="1429"/>
      <c r="B163" s="2309" t="s">
        <v>516</v>
      </c>
      <c r="C163" s="2310" t="s">
        <v>3129</v>
      </c>
      <c r="D163" s="1889"/>
      <c r="E163" s="1747"/>
      <c r="F163" s="1747"/>
      <c r="G163" s="1890"/>
      <c r="H163" s="1891"/>
      <c r="I163" s="1891">
        <f t="shared" si="114"/>
        <v>0</v>
      </c>
      <c r="J163" s="1893"/>
      <c r="K163" s="1894"/>
      <c r="L163" s="1895"/>
      <c r="M163" s="1896"/>
      <c r="N163" s="1897"/>
      <c r="O163" s="1898"/>
      <c r="P163" s="1899"/>
      <c r="Q163" s="1719"/>
      <c r="R163" s="1900"/>
      <c r="S163" s="1901" t="str">
        <f t="shared" si="110"/>
        <v/>
      </c>
      <c r="T163" s="2263"/>
      <c r="U163" s="1423"/>
      <c r="V163" s="1423"/>
      <c r="W163" s="1423"/>
      <c r="X163" s="1434"/>
    </row>
    <row r="164" spans="1:24" s="1417" customFormat="1" ht="13.8">
      <c r="B164" s="2305" t="s">
        <v>517</v>
      </c>
      <c r="C164" s="2306" t="s">
        <v>3130</v>
      </c>
      <c r="D164" s="1889"/>
      <c r="E164" s="1747"/>
      <c r="F164" s="1747"/>
      <c r="G164" s="1890"/>
      <c r="H164" s="1891"/>
      <c r="I164" s="1891">
        <f t="shared" si="114"/>
        <v>0</v>
      </c>
      <c r="J164" s="1893"/>
      <c r="K164" s="1894"/>
      <c r="L164" s="1895"/>
      <c r="M164" s="1896"/>
      <c r="N164" s="1897"/>
      <c r="O164" s="1898"/>
      <c r="P164" s="1899"/>
      <c r="Q164" s="1719"/>
      <c r="R164" s="1900"/>
      <c r="S164" s="1901" t="str">
        <f t="shared" si="110"/>
        <v/>
      </c>
      <c r="T164" s="2263"/>
      <c r="U164" s="1423"/>
      <c r="V164" s="1423"/>
      <c r="W164" s="1423"/>
      <c r="X164" s="1434"/>
    </row>
    <row r="165" spans="1:24" s="1417" customFormat="1" ht="13.8">
      <c r="A165" s="1416"/>
      <c r="B165" s="1902" t="s">
        <v>695</v>
      </c>
      <c r="C165" s="1903" t="s">
        <v>3835</v>
      </c>
      <c r="D165" s="1889" t="s">
        <v>37</v>
      </c>
      <c r="E165" s="1747">
        <v>1990.29</v>
      </c>
      <c r="F165" s="1747">
        <v>81.42</v>
      </c>
      <c r="G165" s="1890">
        <v>82.52</v>
      </c>
      <c r="H165" s="1891">
        <f t="shared" ref="H165" si="138">+E165*F165</f>
        <v>162049.4118</v>
      </c>
      <c r="I165" s="1891">
        <f t="shared" si="114"/>
        <v>164238.73000000001</v>
      </c>
      <c r="J165" s="1893">
        <v>702.72</v>
      </c>
      <c r="K165" s="1894">
        <v>57988.454400000002</v>
      </c>
      <c r="L165" s="1895">
        <f>+'[31]RESUMEN DE METRADOS '!$I$36</f>
        <v>340.85700000000003</v>
      </c>
      <c r="M165" s="1896">
        <f t="shared" ref="M165" si="139">L165*G165</f>
        <v>28127.519640000002</v>
      </c>
      <c r="N165" s="1897">
        <f t="shared" ref="N165" si="140">J165+L165</f>
        <v>1043.577</v>
      </c>
      <c r="O165" s="1898">
        <f>N165*G165</f>
        <v>86115.974040000001</v>
      </c>
      <c r="P165" s="1899">
        <f>+IF(D165=0,"",O165/I165)</f>
        <v>0.52433414481468532</v>
      </c>
      <c r="Q165" s="1719">
        <f t="shared" ref="Q165" si="141">E165-N165</f>
        <v>946.71299999999997</v>
      </c>
      <c r="R165" s="1900">
        <f>ROUND((Q165*G165),2)</f>
        <v>78122.759999999995</v>
      </c>
      <c r="S165" s="1901">
        <f>+IF(I165=0,"",R165/I165)</f>
        <v>0.47566587978365388</v>
      </c>
      <c r="T165" s="2263"/>
      <c r="U165" s="1423"/>
      <c r="V165" s="1423"/>
      <c r="W165" s="1423"/>
      <c r="X165" s="1434"/>
    </row>
    <row r="166" spans="1:24" s="1417" customFormat="1" ht="13.8">
      <c r="A166" s="1429"/>
      <c r="B166" s="2305" t="s">
        <v>701</v>
      </c>
      <c r="C166" s="2306" t="s">
        <v>3134</v>
      </c>
      <c r="D166" s="1889"/>
      <c r="E166" s="1747"/>
      <c r="F166" s="1747"/>
      <c r="G166" s="1890"/>
      <c r="H166" s="1891"/>
      <c r="I166" s="1891">
        <f t="shared" si="114"/>
        <v>0</v>
      </c>
      <c r="J166" s="1893"/>
      <c r="K166" s="1894"/>
      <c r="L166" s="1895"/>
      <c r="M166" s="1896"/>
      <c r="N166" s="1897"/>
      <c r="O166" s="1898"/>
      <c r="P166" s="1899"/>
      <c r="Q166" s="1719"/>
      <c r="R166" s="1900"/>
      <c r="S166" s="1901" t="str">
        <f t="shared" si="110"/>
        <v/>
      </c>
      <c r="T166" s="2263"/>
      <c r="U166" s="1423"/>
      <c r="V166" s="1423"/>
      <c r="W166" s="1423"/>
      <c r="X166" s="1434"/>
    </row>
    <row r="167" spans="1:24" s="1417" customFormat="1" ht="13.8">
      <c r="B167" s="1902" t="s">
        <v>702</v>
      </c>
      <c r="C167" s="1903" t="s">
        <v>4214</v>
      </c>
      <c r="D167" s="1889" t="s">
        <v>38</v>
      </c>
      <c r="E167" s="1747">
        <v>47.82</v>
      </c>
      <c r="F167" s="1747">
        <v>33.68</v>
      </c>
      <c r="G167" s="1890">
        <v>34.049999999999997</v>
      </c>
      <c r="H167" s="1891">
        <f t="shared" ref="H167:H169" si="142">+E167*F167</f>
        <v>1610.5776000000001</v>
      </c>
      <c r="I167" s="1891">
        <f t="shared" si="114"/>
        <v>1628.27</v>
      </c>
      <c r="J167" s="1893">
        <v>0</v>
      </c>
      <c r="K167" s="1894">
        <v>0</v>
      </c>
      <c r="L167" s="1895"/>
      <c r="M167" s="1896">
        <f t="shared" ref="M167:M169" si="143">L167*G167</f>
        <v>0</v>
      </c>
      <c r="N167" s="1897">
        <f t="shared" ref="N167:N169" si="144">J167+L167</f>
        <v>0</v>
      </c>
      <c r="O167" s="1898">
        <f t="shared" ref="O167:O169" si="145">N167*G167</f>
        <v>0</v>
      </c>
      <c r="P167" s="1899">
        <f t="shared" ref="P167:P169" si="146">+IF(D167=0,"",O167/I167)</f>
        <v>0</v>
      </c>
      <c r="Q167" s="1719">
        <f t="shared" ref="Q167:Q169" si="147">E167-N167</f>
        <v>47.82</v>
      </c>
      <c r="R167" s="1900">
        <f t="shared" ref="R167:R169" si="148">ROUND((Q167*G167),2)</f>
        <v>1628.27</v>
      </c>
      <c r="S167" s="1901">
        <f t="shared" ref="S167:S169" si="149">+IF(I167=0,"",R167/I167)</f>
        <v>1</v>
      </c>
      <c r="T167" s="2263"/>
      <c r="U167" s="1423"/>
      <c r="V167" s="1423"/>
      <c r="W167" s="1423"/>
      <c r="X167" s="1434"/>
    </row>
    <row r="168" spans="1:24" s="1417" customFormat="1" ht="13.8">
      <c r="A168" s="1429"/>
      <c r="B168" s="1902" t="s">
        <v>703</v>
      </c>
      <c r="C168" s="1903" t="s">
        <v>4215</v>
      </c>
      <c r="D168" s="1889" t="s">
        <v>38</v>
      </c>
      <c r="E168" s="1747">
        <v>84.86</v>
      </c>
      <c r="F168" s="1747">
        <v>12.45</v>
      </c>
      <c r="G168" s="1890">
        <v>12.96</v>
      </c>
      <c r="H168" s="1891">
        <f t="shared" si="142"/>
        <v>1056.5069999999998</v>
      </c>
      <c r="I168" s="1891">
        <f t="shared" si="114"/>
        <v>1099.79</v>
      </c>
      <c r="J168" s="1893">
        <v>21.36</v>
      </c>
      <c r="K168" s="1894">
        <v>276.82560000000001</v>
      </c>
      <c r="L168" s="1895"/>
      <c r="M168" s="1896">
        <f t="shared" si="143"/>
        <v>0</v>
      </c>
      <c r="N168" s="1897">
        <f t="shared" si="144"/>
        <v>21.36</v>
      </c>
      <c r="O168" s="1898">
        <f t="shared" si="145"/>
        <v>276.82560000000001</v>
      </c>
      <c r="P168" s="1899">
        <f t="shared" si="146"/>
        <v>0.25170768964984225</v>
      </c>
      <c r="Q168" s="1719">
        <f t="shared" si="147"/>
        <v>63.5</v>
      </c>
      <c r="R168" s="1900">
        <f t="shared" si="148"/>
        <v>822.96</v>
      </c>
      <c r="S168" s="1901">
        <f t="shared" si="149"/>
        <v>0.7482883095863756</v>
      </c>
      <c r="T168" s="2263"/>
      <c r="U168" s="1423"/>
      <c r="V168" s="1423"/>
      <c r="W168" s="1423"/>
      <c r="X168" s="1434"/>
    </row>
    <row r="169" spans="1:24" s="1417" customFormat="1" ht="13.8">
      <c r="A169" s="1429"/>
      <c r="B169" s="1902" t="s">
        <v>704</v>
      </c>
      <c r="C169" s="1903" t="s">
        <v>4216</v>
      </c>
      <c r="D169" s="1889" t="s">
        <v>38</v>
      </c>
      <c r="E169" s="1747">
        <v>2303.92</v>
      </c>
      <c r="F169" s="1747">
        <v>31.22</v>
      </c>
      <c r="G169" s="1890">
        <v>32.130000000000003</v>
      </c>
      <c r="H169" s="1891">
        <f t="shared" si="142"/>
        <v>71928.382400000002</v>
      </c>
      <c r="I169" s="1891">
        <f t="shared" si="114"/>
        <v>74024.95</v>
      </c>
      <c r="J169" s="1893">
        <v>83.969999999999985</v>
      </c>
      <c r="K169" s="1894">
        <v>2697.9560999999999</v>
      </c>
      <c r="L169" s="1895">
        <f>+'[31]RESUMEN DE METRADOS '!$I$38</f>
        <v>297.31</v>
      </c>
      <c r="M169" s="1896">
        <f t="shared" si="143"/>
        <v>9552.5703000000012</v>
      </c>
      <c r="N169" s="1897">
        <f t="shared" si="144"/>
        <v>381.28</v>
      </c>
      <c r="O169" s="1898">
        <f t="shared" si="145"/>
        <v>12250.526400000001</v>
      </c>
      <c r="P169" s="1899">
        <f t="shared" si="146"/>
        <v>0.16549185646190914</v>
      </c>
      <c r="Q169" s="1719">
        <f t="shared" si="147"/>
        <v>1922.64</v>
      </c>
      <c r="R169" s="1900">
        <f t="shared" si="148"/>
        <v>61774.42</v>
      </c>
      <c r="S169" s="1901">
        <f t="shared" si="149"/>
        <v>0.83450809490583922</v>
      </c>
      <c r="T169" s="2263"/>
      <c r="U169" s="1423"/>
      <c r="V169" s="1423"/>
      <c r="W169" s="1423"/>
      <c r="X169" s="1434"/>
    </row>
    <row r="170" spans="1:24" s="1417" customFormat="1" ht="13.8">
      <c r="B170" s="2309" t="s">
        <v>742</v>
      </c>
      <c r="C170" s="2310" t="s">
        <v>3838</v>
      </c>
      <c r="D170" s="1889"/>
      <c r="E170" s="1747"/>
      <c r="F170" s="1747"/>
      <c r="G170" s="1890"/>
      <c r="H170" s="1891"/>
      <c r="I170" s="1891">
        <f t="shared" si="114"/>
        <v>0</v>
      </c>
      <c r="J170" s="1893"/>
      <c r="K170" s="1894"/>
      <c r="L170" s="1895"/>
      <c r="M170" s="1896"/>
      <c r="N170" s="1897"/>
      <c r="O170" s="1898"/>
      <c r="P170" s="1899"/>
      <c r="Q170" s="1719"/>
      <c r="R170" s="1900"/>
      <c r="S170" s="1901" t="str">
        <f t="shared" si="110"/>
        <v/>
      </c>
      <c r="T170" s="2263"/>
      <c r="U170" s="1423"/>
      <c r="V170" s="1423"/>
      <c r="W170" s="1423"/>
      <c r="X170" s="1434"/>
    </row>
    <row r="171" spans="1:24" s="1417" customFormat="1" ht="13.8">
      <c r="A171" s="1416"/>
      <c r="B171" s="2305" t="s">
        <v>743</v>
      </c>
      <c r="C171" s="2306" t="s">
        <v>4217</v>
      </c>
      <c r="D171" s="1889"/>
      <c r="E171" s="1747"/>
      <c r="F171" s="1747"/>
      <c r="G171" s="1890"/>
      <c r="H171" s="1891"/>
      <c r="I171" s="1891">
        <f t="shared" si="114"/>
        <v>0</v>
      </c>
      <c r="J171" s="1893"/>
      <c r="K171" s="1894"/>
      <c r="L171" s="1895"/>
      <c r="M171" s="1896"/>
      <c r="N171" s="1897"/>
      <c r="O171" s="1898"/>
      <c r="P171" s="1899"/>
      <c r="Q171" s="1719"/>
      <c r="R171" s="1900"/>
      <c r="S171" s="1901" t="str">
        <f t="shared" si="110"/>
        <v/>
      </c>
      <c r="T171" s="2263"/>
      <c r="U171" s="1423"/>
      <c r="V171" s="1423"/>
      <c r="W171" s="1423"/>
      <c r="X171" s="1434"/>
    </row>
    <row r="172" spans="1:24" s="1417" customFormat="1" ht="13.8">
      <c r="A172" s="1429"/>
      <c r="B172" s="1902" t="s">
        <v>744</v>
      </c>
      <c r="C172" s="1903" t="s">
        <v>4218</v>
      </c>
      <c r="D172" s="1889" t="s">
        <v>37</v>
      </c>
      <c r="E172" s="1747">
        <v>1</v>
      </c>
      <c r="F172" s="1747">
        <v>4836.2700000000004</v>
      </c>
      <c r="G172" s="1890">
        <v>4850.2</v>
      </c>
      <c r="H172" s="1891">
        <f t="shared" ref="H172:H173" si="150">+E172*F172</f>
        <v>4836.2700000000004</v>
      </c>
      <c r="I172" s="1891">
        <f t="shared" si="114"/>
        <v>4850.2</v>
      </c>
      <c r="J172" s="1893">
        <v>0</v>
      </c>
      <c r="K172" s="1894">
        <v>0</v>
      </c>
      <c r="L172" s="1895"/>
      <c r="M172" s="1896">
        <f t="shared" ref="M172:M173" si="151">L172*G172</f>
        <v>0</v>
      </c>
      <c r="N172" s="1897">
        <f t="shared" ref="N172:N173" si="152">J172+L172</f>
        <v>0</v>
      </c>
      <c r="O172" s="1898">
        <f t="shared" ref="O172:O173" si="153">N172*G172</f>
        <v>0</v>
      </c>
      <c r="P172" s="1899">
        <f t="shared" ref="P172:P173" si="154">+IF(D172=0,"",O172/I172)</f>
        <v>0</v>
      </c>
      <c r="Q172" s="1719">
        <f t="shared" ref="Q172:Q173" si="155">E172-N172</f>
        <v>1</v>
      </c>
      <c r="R172" s="1900">
        <f t="shared" ref="R172:R173" si="156">ROUND((Q172*G172),2)</f>
        <v>4850.2</v>
      </c>
      <c r="S172" s="1901">
        <f t="shared" ref="S172:S173" si="157">+IF(I172=0,"",R172/I172)</f>
        <v>1</v>
      </c>
      <c r="T172" s="2263"/>
      <c r="U172" s="1423"/>
      <c r="V172" s="1423"/>
      <c r="W172" s="1423"/>
      <c r="X172" s="1434"/>
    </row>
    <row r="173" spans="1:24" s="1417" customFormat="1" ht="13.8">
      <c r="B173" s="1910" t="s">
        <v>745</v>
      </c>
      <c r="C173" s="1911" t="s">
        <v>4219</v>
      </c>
      <c r="D173" s="1889" t="s">
        <v>37</v>
      </c>
      <c r="E173" s="1747">
        <v>50.4</v>
      </c>
      <c r="F173" s="1747">
        <v>216</v>
      </c>
      <c r="G173" s="1890">
        <v>216</v>
      </c>
      <c r="H173" s="1891">
        <f t="shared" si="150"/>
        <v>10886.4</v>
      </c>
      <c r="I173" s="1891">
        <f t="shared" si="114"/>
        <v>10886.4</v>
      </c>
      <c r="J173" s="1893">
        <v>0</v>
      </c>
      <c r="K173" s="1894">
        <v>0</v>
      </c>
      <c r="L173" s="1895"/>
      <c r="M173" s="1896">
        <f t="shared" si="151"/>
        <v>0</v>
      </c>
      <c r="N173" s="1897">
        <f t="shared" si="152"/>
        <v>0</v>
      </c>
      <c r="O173" s="1898">
        <f t="shared" si="153"/>
        <v>0</v>
      </c>
      <c r="P173" s="1899">
        <f t="shared" si="154"/>
        <v>0</v>
      </c>
      <c r="Q173" s="1719">
        <f t="shared" si="155"/>
        <v>50.4</v>
      </c>
      <c r="R173" s="1900">
        <f t="shared" si="156"/>
        <v>10886.4</v>
      </c>
      <c r="S173" s="1901">
        <f t="shared" si="157"/>
        <v>1</v>
      </c>
      <c r="T173" s="2263"/>
      <c r="U173" s="1423"/>
      <c r="V173" s="1423"/>
      <c r="W173" s="1423"/>
      <c r="X173" s="1434"/>
    </row>
    <row r="174" spans="1:24" s="1417" customFormat="1" ht="13.8">
      <c r="A174" s="1416"/>
      <c r="B174" s="2305" t="s">
        <v>746</v>
      </c>
      <c r="C174" s="2306" t="s">
        <v>3157</v>
      </c>
      <c r="D174" s="1889"/>
      <c r="E174" s="1747"/>
      <c r="F174" s="1747"/>
      <c r="G174" s="1890"/>
      <c r="H174" s="1891"/>
      <c r="I174" s="1891">
        <f t="shared" si="114"/>
        <v>0</v>
      </c>
      <c r="J174" s="1893"/>
      <c r="K174" s="1894"/>
      <c r="L174" s="1895"/>
      <c r="M174" s="1896"/>
      <c r="N174" s="1897"/>
      <c r="O174" s="1898"/>
      <c r="P174" s="1899"/>
      <c r="Q174" s="1719"/>
      <c r="R174" s="1900"/>
      <c r="S174" s="1901" t="str">
        <f t="shared" si="110"/>
        <v/>
      </c>
      <c r="T174" s="2263"/>
      <c r="U174" s="1423"/>
      <c r="V174" s="1423"/>
      <c r="W174" s="1423"/>
      <c r="X174" s="1434"/>
    </row>
    <row r="175" spans="1:24" s="1417" customFormat="1" ht="13.8">
      <c r="A175" s="1429"/>
      <c r="B175" s="1902" t="s">
        <v>747</v>
      </c>
      <c r="C175" s="1903" t="s">
        <v>4220</v>
      </c>
      <c r="D175" s="1889" t="s">
        <v>38</v>
      </c>
      <c r="E175" s="1747">
        <v>3197.26</v>
      </c>
      <c r="F175" s="1747">
        <v>18.79</v>
      </c>
      <c r="G175" s="1890">
        <v>18.940000000000001</v>
      </c>
      <c r="H175" s="1891">
        <f t="shared" ref="H175" si="158">+E175*F175</f>
        <v>60076.515400000004</v>
      </c>
      <c r="I175" s="1891">
        <f t="shared" si="114"/>
        <v>60556.1</v>
      </c>
      <c r="J175" s="1893">
        <v>0</v>
      </c>
      <c r="K175" s="1894">
        <v>0</v>
      </c>
      <c r="L175" s="1895"/>
      <c r="M175" s="1896">
        <f t="shared" ref="M175" si="159">L175*G175</f>
        <v>0</v>
      </c>
      <c r="N175" s="1897">
        <f t="shared" ref="N175" si="160">J175+L175</f>
        <v>0</v>
      </c>
      <c r="O175" s="1898">
        <f>N175*G175</f>
        <v>0</v>
      </c>
      <c r="P175" s="1899">
        <f>+IF(D175=0,"",O175/I175)</f>
        <v>0</v>
      </c>
      <c r="Q175" s="1719">
        <f t="shared" ref="Q175" si="161">E175-N175</f>
        <v>3197.26</v>
      </c>
      <c r="R175" s="1900">
        <f>ROUND((Q175*G175),2)</f>
        <v>60556.1</v>
      </c>
      <c r="S175" s="1901">
        <f>+IF(I175=0,"",R175/I175)</f>
        <v>1</v>
      </c>
      <c r="T175" s="2263"/>
      <c r="U175" s="1423"/>
      <c r="V175" s="1423"/>
      <c r="W175" s="1423"/>
      <c r="X175" s="1434"/>
    </row>
    <row r="176" spans="1:24" s="1417" customFormat="1" ht="13.8">
      <c r="B176" s="2309" t="s">
        <v>763</v>
      </c>
      <c r="C176" s="2310" t="s">
        <v>3191</v>
      </c>
      <c r="D176" s="1889"/>
      <c r="E176" s="1747"/>
      <c r="F176" s="1747"/>
      <c r="G176" s="1890"/>
      <c r="H176" s="1891"/>
      <c r="I176" s="1891">
        <f t="shared" si="114"/>
        <v>0</v>
      </c>
      <c r="J176" s="1893"/>
      <c r="K176" s="1894"/>
      <c r="L176" s="1895"/>
      <c r="M176" s="1896"/>
      <c r="N176" s="1897"/>
      <c r="O176" s="1898"/>
      <c r="P176" s="1899"/>
      <c r="Q176" s="1719"/>
      <c r="R176" s="1900"/>
      <c r="S176" s="1901" t="str">
        <f t="shared" si="110"/>
        <v/>
      </c>
      <c r="T176" s="2263"/>
      <c r="U176" s="1423"/>
      <c r="V176" s="1423"/>
      <c r="W176" s="1423"/>
      <c r="X176" s="1434"/>
    </row>
    <row r="177" spans="1:25" s="1417" customFormat="1" ht="13.8">
      <c r="A177" s="1429"/>
      <c r="B177" s="1902" t="s">
        <v>764</v>
      </c>
      <c r="C177" s="1903" t="s">
        <v>4221</v>
      </c>
      <c r="D177" s="1889" t="s">
        <v>37</v>
      </c>
      <c r="E177" s="1747">
        <v>5505.09</v>
      </c>
      <c r="F177" s="1747">
        <v>13.01</v>
      </c>
      <c r="G177" s="1890">
        <v>13.37</v>
      </c>
      <c r="H177" s="1891">
        <f t="shared" ref="H177:H184" si="162">+E177*F177</f>
        <v>71621.2209</v>
      </c>
      <c r="I177" s="1891">
        <f t="shared" si="114"/>
        <v>73603.05</v>
      </c>
      <c r="J177" s="1893">
        <v>1627.5972500000005</v>
      </c>
      <c r="K177" s="1894">
        <v>21760.975232500004</v>
      </c>
      <c r="L177" s="1895">
        <f>+'[31]RESUMEN DE METRADOS '!$I$46</f>
        <v>85.98</v>
      </c>
      <c r="M177" s="1896">
        <f t="shared" ref="M177:M184" si="163">L177*G177</f>
        <v>1149.5526</v>
      </c>
      <c r="N177" s="1897">
        <f t="shared" ref="N177:N184" si="164">J177+L177</f>
        <v>1713.5772500000005</v>
      </c>
      <c r="O177" s="1898">
        <f t="shared" ref="O177:O184" si="165">N177*G177</f>
        <v>22910.527832500007</v>
      </c>
      <c r="P177" s="1899">
        <f t="shared" ref="P177:P184" si="166">+IF(D177=0,"",O177/I177)</f>
        <v>0.31127144639386556</v>
      </c>
      <c r="Q177" s="1719">
        <f t="shared" ref="Q177:Q184" si="167">E177-N177</f>
        <v>3791.5127499999999</v>
      </c>
      <c r="R177" s="1900">
        <f t="shared" ref="R177:R184" si="168">ROUND((Q177*G177),2)</f>
        <v>50692.53</v>
      </c>
      <c r="S177" s="1901">
        <f t="shared" ref="S177:S184" si="169">+IF(I177=0,"",R177/I177)</f>
        <v>0.68872866002156152</v>
      </c>
      <c r="T177" s="2263"/>
      <c r="U177" s="1423">
        <f>+Q177*0.3</f>
        <v>1137.4538249999998</v>
      </c>
      <c r="V177" s="1423">
        <v>1410.0453749999999</v>
      </c>
      <c r="W177" s="1423"/>
      <c r="X177" s="1434">
        <v>787.00875000000008</v>
      </c>
      <c r="Y177" s="2168">
        <f>+X177/E177</f>
        <v>0.14296019683601904</v>
      </c>
    </row>
    <row r="178" spans="1:25" s="1417" customFormat="1" ht="13.8">
      <c r="A178" s="1429"/>
      <c r="B178" s="1902" t="s">
        <v>767</v>
      </c>
      <c r="C178" s="1903" t="s">
        <v>4222</v>
      </c>
      <c r="D178" s="1889" t="s">
        <v>37</v>
      </c>
      <c r="E178" s="1747">
        <v>4009.91</v>
      </c>
      <c r="F178" s="1747">
        <v>13.7</v>
      </c>
      <c r="G178" s="1890">
        <v>13.98</v>
      </c>
      <c r="H178" s="1891">
        <f t="shared" si="162"/>
        <v>54935.766999999993</v>
      </c>
      <c r="I178" s="1891">
        <f t="shared" si="114"/>
        <v>56058.54</v>
      </c>
      <c r="J178" s="1893">
        <v>848.87660000000039</v>
      </c>
      <c r="K178" s="1894">
        <v>11867.294868000006</v>
      </c>
      <c r="L178" s="1895">
        <f>+'[31]RESUMEN DE METRADOS '!$I$48</f>
        <v>32.004750000000001</v>
      </c>
      <c r="M178" s="1896">
        <f t="shared" si="163"/>
        <v>447.42640500000005</v>
      </c>
      <c r="N178" s="1897">
        <f t="shared" si="164"/>
        <v>880.88135000000034</v>
      </c>
      <c r="O178" s="1898">
        <f t="shared" si="165"/>
        <v>12314.721273000005</v>
      </c>
      <c r="P178" s="1899">
        <f t="shared" si="166"/>
        <v>0.21967609704070074</v>
      </c>
      <c r="Q178" s="1719">
        <f t="shared" si="167"/>
        <v>3129.0286499999993</v>
      </c>
      <c r="R178" s="1900">
        <f t="shared" si="168"/>
        <v>43743.82</v>
      </c>
      <c r="S178" s="1901">
        <f t="shared" si="169"/>
        <v>0.78032392566770381</v>
      </c>
      <c r="T178" s="2263"/>
      <c r="U178" s="1423">
        <f t="shared" ref="U178:U181" si="170">+Q178*0.3</f>
        <v>938.70859499999972</v>
      </c>
      <c r="V178" s="1423">
        <v>1173.9747749999999</v>
      </c>
      <c r="W178" s="1423">
        <f>+V178+L178</f>
        <v>1205.979525</v>
      </c>
      <c r="X178" s="1434">
        <v>378.38925000000023</v>
      </c>
      <c r="Y178" s="2168">
        <f t="shared" ref="Y178:Y181" si="171">+X178/E178</f>
        <v>9.4363526862198968E-2</v>
      </c>
    </row>
    <row r="179" spans="1:25" s="1417" customFormat="1" ht="13.8">
      <c r="B179" s="1902" t="s">
        <v>771</v>
      </c>
      <c r="C179" s="1903" t="s">
        <v>4223</v>
      </c>
      <c r="D179" s="1889" t="s">
        <v>37</v>
      </c>
      <c r="E179" s="1747">
        <v>5094.62</v>
      </c>
      <c r="F179" s="1747">
        <v>14.45</v>
      </c>
      <c r="G179" s="1890">
        <v>14.78</v>
      </c>
      <c r="H179" s="1891">
        <f t="shared" si="162"/>
        <v>73617.258999999991</v>
      </c>
      <c r="I179" s="1891">
        <f t="shared" si="114"/>
        <v>75298.48</v>
      </c>
      <c r="J179" s="1893">
        <v>541.58955000000014</v>
      </c>
      <c r="K179" s="1894">
        <v>8004.6935490000014</v>
      </c>
      <c r="L179" s="1895">
        <f>+'[31]RESUMEN DE METRADOS '!$I$49</f>
        <v>76.392999999999972</v>
      </c>
      <c r="M179" s="1896">
        <f t="shared" si="163"/>
        <v>1129.0885399999995</v>
      </c>
      <c r="N179" s="1897">
        <f t="shared" si="164"/>
        <v>617.98255000000017</v>
      </c>
      <c r="O179" s="1898">
        <f t="shared" si="165"/>
        <v>9133.7820890000021</v>
      </c>
      <c r="P179" s="1899">
        <f t="shared" si="166"/>
        <v>0.12130101549194622</v>
      </c>
      <c r="Q179" s="1719">
        <f t="shared" si="167"/>
        <v>4476.6374500000002</v>
      </c>
      <c r="R179" s="1900">
        <f t="shared" si="168"/>
        <v>66164.7</v>
      </c>
      <c r="S179" s="1901">
        <f t="shared" si="169"/>
        <v>0.87869901225097768</v>
      </c>
      <c r="T179" s="2263"/>
      <c r="U179" s="1423">
        <f t="shared" si="170"/>
        <v>1342.991235</v>
      </c>
      <c r="V179" s="1423">
        <v>1422.4368750000001</v>
      </c>
      <c r="W179" s="1423">
        <f t="shared" ref="W179:W181" si="172">+V179+L179</f>
        <v>1498.8298750000001</v>
      </c>
      <c r="X179" s="1434">
        <v>101.93325000000003</v>
      </c>
      <c r="Y179" s="2168">
        <f t="shared" si="171"/>
        <v>2.0008018262402304E-2</v>
      </c>
    </row>
    <row r="180" spans="1:25" s="1417" customFormat="1" ht="13.8">
      <c r="A180" s="1416"/>
      <c r="B180" s="1902" t="s">
        <v>3836</v>
      </c>
      <c r="C180" s="1903" t="s">
        <v>4224</v>
      </c>
      <c r="D180" s="1889" t="s">
        <v>37</v>
      </c>
      <c r="E180" s="1747">
        <v>5242.09</v>
      </c>
      <c r="F180" s="1747">
        <v>13.7</v>
      </c>
      <c r="G180" s="1890">
        <v>13.98</v>
      </c>
      <c r="H180" s="1891">
        <f t="shared" si="162"/>
        <v>71816.633000000002</v>
      </c>
      <c r="I180" s="1891">
        <f t="shared" si="114"/>
        <v>73284.42</v>
      </c>
      <c r="J180" s="1893">
        <v>1253.9432749999992</v>
      </c>
      <c r="K180" s="1894">
        <v>17530.126984499988</v>
      </c>
      <c r="L180" s="1895">
        <f>+'[31]RESUMEN DE METRADOS '!$I$47</f>
        <v>72.079650000000001</v>
      </c>
      <c r="M180" s="1896">
        <f t="shared" si="163"/>
        <v>1007.6735070000001</v>
      </c>
      <c r="N180" s="1897">
        <f t="shared" si="164"/>
        <v>1326.0229249999991</v>
      </c>
      <c r="O180" s="1898">
        <f t="shared" si="165"/>
        <v>18537.800491499987</v>
      </c>
      <c r="P180" s="1899">
        <f t="shared" si="166"/>
        <v>0.25295691077994459</v>
      </c>
      <c r="Q180" s="1719">
        <f t="shared" si="167"/>
        <v>3916.0670750000008</v>
      </c>
      <c r="R180" s="1900">
        <f t="shared" si="168"/>
        <v>54746.62</v>
      </c>
      <c r="S180" s="1901">
        <f t="shared" si="169"/>
        <v>0.7470430959268014</v>
      </c>
      <c r="T180" s="2263"/>
      <c r="U180" s="1423">
        <f t="shared" si="170"/>
        <v>1174.8201225000003</v>
      </c>
      <c r="V180" s="1423">
        <v>1469.0766749999998</v>
      </c>
      <c r="W180" s="1423">
        <f t="shared" si="172"/>
        <v>1541.1563249999997</v>
      </c>
      <c r="X180" s="1434">
        <v>419.70599999999968</v>
      </c>
      <c r="Y180" s="2168">
        <f t="shared" si="171"/>
        <v>8.0064630710270077E-2</v>
      </c>
    </row>
    <row r="181" spans="1:25" s="1417" customFormat="1" ht="13.8">
      <c r="A181" s="1429"/>
      <c r="B181" s="1902" t="s">
        <v>4225</v>
      </c>
      <c r="C181" s="1903" t="s">
        <v>4226</v>
      </c>
      <c r="D181" s="1889" t="s">
        <v>37</v>
      </c>
      <c r="E181" s="1747">
        <v>2830.02</v>
      </c>
      <c r="F181" s="1747">
        <v>12.05</v>
      </c>
      <c r="G181" s="1890">
        <v>12.38</v>
      </c>
      <c r="H181" s="1891">
        <f t="shared" si="162"/>
        <v>34101.741000000002</v>
      </c>
      <c r="I181" s="1891">
        <f t="shared" si="114"/>
        <v>35035.65</v>
      </c>
      <c r="J181" s="1893">
        <v>403.24397500000026</v>
      </c>
      <c r="K181" s="1894">
        <v>4992.1604105000033</v>
      </c>
      <c r="L181" s="1895">
        <f>+'[31]RESUMEN DE METRADOS '!$I$50</f>
        <v>34.094100000000005</v>
      </c>
      <c r="M181" s="1896">
        <f t="shared" si="163"/>
        <v>422.08495800000009</v>
      </c>
      <c r="N181" s="1897">
        <f t="shared" si="164"/>
        <v>437.33807500000029</v>
      </c>
      <c r="O181" s="1898">
        <f t="shared" si="165"/>
        <v>5414.2453685000037</v>
      </c>
      <c r="P181" s="1899">
        <f t="shared" si="166"/>
        <v>0.15453531955308389</v>
      </c>
      <c r="Q181" s="1719">
        <f t="shared" si="167"/>
        <v>2392.6819249999999</v>
      </c>
      <c r="R181" s="1900">
        <f t="shared" si="168"/>
        <v>29621.4</v>
      </c>
      <c r="S181" s="1901">
        <f t="shared" si="169"/>
        <v>0.84546454825299378</v>
      </c>
      <c r="T181" s="2263"/>
      <c r="U181" s="1423">
        <f t="shared" si="170"/>
        <v>717.80457749999994</v>
      </c>
      <c r="V181" s="1423">
        <v>847.24770000000001</v>
      </c>
      <c r="W181" s="1423">
        <f t="shared" si="172"/>
        <v>881.34180000000003</v>
      </c>
      <c r="X181" s="1434">
        <v>60.952749999999988</v>
      </c>
      <c r="Y181" s="2168">
        <f t="shared" si="171"/>
        <v>2.153792199348414E-2</v>
      </c>
    </row>
    <row r="182" spans="1:25" s="1417" customFormat="1" ht="13.8">
      <c r="B182" s="1902" t="s">
        <v>4227</v>
      </c>
      <c r="C182" s="1903" t="s">
        <v>4228</v>
      </c>
      <c r="D182" s="1889" t="s">
        <v>37</v>
      </c>
      <c r="E182" s="1747">
        <v>1899.96</v>
      </c>
      <c r="F182" s="1747">
        <v>13.7</v>
      </c>
      <c r="G182" s="1890">
        <v>13.98</v>
      </c>
      <c r="H182" s="1891">
        <f t="shared" si="162"/>
        <v>26029.451999999997</v>
      </c>
      <c r="I182" s="1891">
        <f t="shared" si="114"/>
        <v>26561.439999999999</v>
      </c>
      <c r="J182" s="1893">
        <v>0</v>
      </c>
      <c r="K182" s="1894">
        <v>0</v>
      </c>
      <c r="L182" s="1895"/>
      <c r="M182" s="1896">
        <f t="shared" si="163"/>
        <v>0</v>
      </c>
      <c r="N182" s="1897">
        <f t="shared" si="164"/>
        <v>0</v>
      </c>
      <c r="O182" s="1898">
        <f t="shared" si="165"/>
        <v>0</v>
      </c>
      <c r="P182" s="1899">
        <f t="shared" si="166"/>
        <v>0</v>
      </c>
      <c r="Q182" s="1719">
        <f t="shared" si="167"/>
        <v>1899.96</v>
      </c>
      <c r="R182" s="1900">
        <f t="shared" si="168"/>
        <v>26561.439999999999</v>
      </c>
      <c r="S182" s="1901">
        <f t="shared" si="169"/>
        <v>1</v>
      </c>
      <c r="T182" s="2263"/>
      <c r="U182" s="1423"/>
      <c r="V182" s="1423"/>
      <c r="W182" s="1423"/>
      <c r="X182" s="1434"/>
    </row>
    <row r="183" spans="1:25" s="1417" customFormat="1" ht="13.8">
      <c r="A183" s="1416"/>
      <c r="B183" s="1902" t="s">
        <v>4229</v>
      </c>
      <c r="C183" s="1903" t="s">
        <v>4230</v>
      </c>
      <c r="D183" s="1889" t="s">
        <v>37</v>
      </c>
      <c r="E183" s="1747">
        <v>85.02</v>
      </c>
      <c r="F183" s="1747">
        <v>13.7</v>
      </c>
      <c r="G183" s="1890">
        <v>13.98</v>
      </c>
      <c r="H183" s="1891">
        <f t="shared" si="162"/>
        <v>1164.7739999999999</v>
      </c>
      <c r="I183" s="1891">
        <f t="shared" si="114"/>
        <v>1188.58</v>
      </c>
      <c r="J183" s="1893">
        <v>0</v>
      </c>
      <c r="K183" s="1894">
        <v>0</v>
      </c>
      <c r="L183" s="1895"/>
      <c r="M183" s="1896">
        <f t="shared" si="163"/>
        <v>0</v>
      </c>
      <c r="N183" s="1897">
        <f t="shared" si="164"/>
        <v>0</v>
      </c>
      <c r="O183" s="1898">
        <f t="shared" si="165"/>
        <v>0</v>
      </c>
      <c r="P183" s="1899">
        <f t="shared" si="166"/>
        <v>0</v>
      </c>
      <c r="Q183" s="1719">
        <f t="shared" si="167"/>
        <v>85.02</v>
      </c>
      <c r="R183" s="1900">
        <f t="shared" si="168"/>
        <v>1188.58</v>
      </c>
      <c r="S183" s="1901">
        <f t="shared" si="169"/>
        <v>1</v>
      </c>
      <c r="T183" s="2263"/>
      <c r="U183" s="1423"/>
      <c r="V183" s="1423"/>
      <c r="W183" s="1423"/>
      <c r="X183" s="1434"/>
    </row>
    <row r="184" spans="1:25" s="1417" customFormat="1" ht="13.8">
      <c r="A184" s="1429"/>
      <c r="B184" s="1902" t="s">
        <v>4231</v>
      </c>
      <c r="C184" s="1903" t="s">
        <v>4232</v>
      </c>
      <c r="D184" s="1889" t="s">
        <v>37</v>
      </c>
      <c r="E184" s="1747">
        <v>293.13</v>
      </c>
      <c r="F184" s="1747">
        <v>13.7</v>
      </c>
      <c r="G184" s="1890">
        <v>13.98</v>
      </c>
      <c r="H184" s="1891">
        <f t="shared" si="162"/>
        <v>4015.8809999999999</v>
      </c>
      <c r="I184" s="1891">
        <f t="shared" si="114"/>
        <v>4097.96</v>
      </c>
      <c r="J184" s="1893">
        <v>0</v>
      </c>
      <c r="K184" s="1894">
        <v>0</v>
      </c>
      <c r="L184" s="1895"/>
      <c r="M184" s="1896">
        <f t="shared" si="163"/>
        <v>0</v>
      </c>
      <c r="N184" s="1897">
        <f t="shared" si="164"/>
        <v>0</v>
      </c>
      <c r="O184" s="1898">
        <f t="shared" si="165"/>
        <v>0</v>
      </c>
      <c r="P184" s="1899">
        <f t="shared" si="166"/>
        <v>0</v>
      </c>
      <c r="Q184" s="1719">
        <f t="shared" si="167"/>
        <v>293.13</v>
      </c>
      <c r="R184" s="1900">
        <f t="shared" si="168"/>
        <v>4097.96</v>
      </c>
      <c r="S184" s="1901">
        <f t="shared" si="169"/>
        <v>1</v>
      </c>
      <c r="T184" s="2263"/>
      <c r="U184" s="1423"/>
      <c r="V184" s="1423"/>
      <c r="W184" s="1423"/>
      <c r="X184" s="1434"/>
    </row>
    <row r="185" spans="1:25" s="1417" customFormat="1" ht="13.8">
      <c r="B185" s="2309" t="s">
        <v>774</v>
      </c>
      <c r="C185" s="2310" t="s">
        <v>3070</v>
      </c>
      <c r="D185" s="1889"/>
      <c r="E185" s="1747"/>
      <c r="F185" s="1747"/>
      <c r="G185" s="1890"/>
      <c r="H185" s="1891"/>
      <c r="I185" s="1891">
        <f t="shared" si="114"/>
        <v>0</v>
      </c>
      <c r="J185" s="1893"/>
      <c r="K185" s="1894"/>
      <c r="L185" s="1895"/>
      <c r="M185" s="1896"/>
      <c r="N185" s="1897"/>
      <c r="O185" s="1898"/>
      <c r="P185" s="1899"/>
      <c r="Q185" s="1719"/>
      <c r="R185" s="1900"/>
      <c r="S185" s="1901" t="str">
        <f t="shared" si="110"/>
        <v/>
      </c>
      <c r="T185" s="2263"/>
      <c r="U185" s="1423"/>
      <c r="V185" s="1423"/>
      <c r="W185" s="1423"/>
      <c r="X185" s="1434"/>
    </row>
    <row r="186" spans="1:25" s="1417" customFormat="1" ht="13.8">
      <c r="A186" s="1429"/>
      <c r="B186" s="1902" t="s">
        <v>775</v>
      </c>
      <c r="C186" s="1903" t="s">
        <v>4233</v>
      </c>
      <c r="D186" s="1889" t="s">
        <v>36</v>
      </c>
      <c r="E186" s="1747">
        <v>100</v>
      </c>
      <c r="F186" s="1747">
        <v>351.52</v>
      </c>
      <c r="G186" s="1890">
        <v>362.29</v>
      </c>
      <c r="H186" s="1891">
        <f t="shared" ref="H186:H188" si="173">+E186*F186</f>
        <v>35152</v>
      </c>
      <c r="I186" s="1891">
        <f t="shared" si="114"/>
        <v>36229</v>
      </c>
      <c r="J186" s="1893">
        <v>0</v>
      </c>
      <c r="K186" s="1894">
        <v>0</v>
      </c>
      <c r="L186" s="1895"/>
      <c r="M186" s="1896">
        <f t="shared" ref="M186:M188" si="174">L186*G186</f>
        <v>0</v>
      </c>
      <c r="N186" s="1897">
        <f t="shared" ref="N186:N188" si="175">J186+L186</f>
        <v>0</v>
      </c>
      <c r="O186" s="1898">
        <f t="shared" ref="O186:O188" si="176">N186*G186</f>
        <v>0</v>
      </c>
      <c r="P186" s="1899">
        <f t="shared" ref="P186:P188" si="177">+IF(D186=0,"",O186/I186)</f>
        <v>0</v>
      </c>
      <c r="Q186" s="1719">
        <f t="shared" ref="Q186:Q188" si="178">E186-N186</f>
        <v>100</v>
      </c>
      <c r="R186" s="1900">
        <f t="shared" ref="R186:R188" si="179">ROUND((Q186*G186),2)</f>
        <v>36229</v>
      </c>
      <c r="S186" s="1901">
        <f t="shared" ref="S186:S188" si="180">+IF(I186=0,"",R186/I186)</f>
        <v>1</v>
      </c>
      <c r="T186" s="2263"/>
      <c r="U186" s="1423"/>
      <c r="V186" s="1423"/>
      <c r="W186" s="1423"/>
      <c r="X186" s="1434"/>
    </row>
    <row r="187" spans="1:25" s="1417" customFormat="1" ht="13.8">
      <c r="A187" s="1429"/>
      <c r="B187" s="1902" t="s">
        <v>778</v>
      </c>
      <c r="C187" s="1903" t="s">
        <v>4234</v>
      </c>
      <c r="D187" s="1889" t="s">
        <v>36</v>
      </c>
      <c r="E187" s="1747">
        <v>28</v>
      </c>
      <c r="F187" s="1747">
        <v>600</v>
      </c>
      <c r="G187" s="1890">
        <v>600</v>
      </c>
      <c r="H187" s="1891">
        <f t="shared" si="173"/>
        <v>16800</v>
      </c>
      <c r="I187" s="1891">
        <f t="shared" si="114"/>
        <v>16800</v>
      </c>
      <c r="J187" s="1893">
        <v>0</v>
      </c>
      <c r="K187" s="1894">
        <v>0</v>
      </c>
      <c r="L187" s="1895"/>
      <c r="M187" s="1896">
        <f t="shared" si="174"/>
        <v>0</v>
      </c>
      <c r="N187" s="1897">
        <f t="shared" si="175"/>
        <v>0</v>
      </c>
      <c r="O187" s="1898">
        <f t="shared" si="176"/>
        <v>0</v>
      </c>
      <c r="P187" s="1899">
        <f t="shared" si="177"/>
        <v>0</v>
      </c>
      <c r="Q187" s="1719">
        <f t="shared" si="178"/>
        <v>28</v>
      </c>
      <c r="R187" s="1900">
        <f t="shared" si="179"/>
        <v>16800</v>
      </c>
      <c r="S187" s="1901">
        <f t="shared" si="180"/>
        <v>1</v>
      </c>
      <c r="T187" s="2263"/>
      <c r="U187" s="1423"/>
      <c r="V187" s="1423"/>
      <c r="W187" s="1423"/>
      <c r="X187" s="1434"/>
    </row>
    <row r="188" spans="1:25" s="1417" customFormat="1" ht="13.8">
      <c r="B188" s="1902" t="s">
        <v>3840</v>
      </c>
      <c r="C188" s="1903" t="s">
        <v>4235</v>
      </c>
      <c r="D188" s="1889" t="s">
        <v>36</v>
      </c>
      <c r="E188" s="1747">
        <v>25</v>
      </c>
      <c r="F188" s="1747">
        <v>420.94</v>
      </c>
      <c r="G188" s="1890">
        <v>431.71</v>
      </c>
      <c r="H188" s="1891">
        <f t="shared" si="173"/>
        <v>10523.5</v>
      </c>
      <c r="I188" s="1891">
        <f t="shared" si="114"/>
        <v>10792.75</v>
      </c>
      <c r="J188" s="1893">
        <v>0</v>
      </c>
      <c r="K188" s="1894">
        <v>0</v>
      </c>
      <c r="L188" s="1895"/>
      <c r="M188" s="1896">
        <f t="shared" si="174"/>
        <v>0</v>
      </c>
      <c r="N188" s="1897">
        <f t="shared" si="175"/>
        <v>0</v>
      </c>
      <c r="O188" s="1898">
        <f t="shared" si="176"/>
        <v>0</v>
      </c>
      <c r="P188" s="1899">
        <f t="shared" si="177"/>
        <v>0</v>
      </c>
      <c r="Q188" s="1719">
        <f t="shared" si="178"/>
        <v>25</v>
      </c>
      <c r="R188" s="1900">
        <f t="shared" si="179"/>
        <v>10792.75</v>
      </c>
      <c r="S188" s="1901">
        <f t="shared" si="180"/>
        <v>1</v>
      </c>
      <c r="T188" s="2263"/>
      <c r="U188" s="1423"/>
      <c r="V188" s="1423"/>
      <c r="W188" s="1423"/>
      <c r="X188" s="1434"/>
    </row>
    <row r="189" spans="1:25" s="1417" customFormat="1" ht="13.8">
      <c r="A189" s="1416"/>
      <c r="B189" s="2309" t="s">
        <v>781</v>
      </c>
      <c r="C189" s="2310" t="s">
        <v>4236</v>
      </c>
      <c r="D189" s="1889"/>
      <c r="E189" s="1747"/>
      <c r="F189" s="1747"/>
      <c r="G189" s="1890"/>
      <c r="H189" s="1891"/>
      <c r="I189" s="1891">
        <f t="shared" si="114"/>
        <v>0</v>
      </c>
      <c r="J189" s="1893"/>
      <c r="K189" s="1894"/>
      <c r="L189" s="1895"/>
      <c r="M189" s="1896"/>
      <c r="N189" s="1897"/>
      <c r="O189" s="1898"/>
      <c r="P189" s="1899"/>
      <c r="Q189" s="1719"/>
      <c r="R189" s="1900"/>
      <c r="S189" s="1901" t="str">
        <f t="shared" si="110"/>
        <v/>
      </c>
      <c r="T189" s="2263"/>
      <c r="U189" s="1423"/>
      <c r="V189" s="1423"/>
      <c r="W189" s="1423"/>
      <c r="X189" s="1434"/>
    </row>
    <row r="190" spans="1:25" s="1417" customFormat="1" ht="14.4" thickBot="1">
      <c r="A190" s="1429"/>
      <c r="B190" s="1912" t="s">
        <v>782</v>
      </c>
      <c r="C190" s="1913" t="s">
        <v>4237</v>
      </c>
      <c r="D190" s="1914" t="s">
        <v>36</v>
      </c>
      <c r="E190" s="1915">
        <v>165</v>
      </c>
      <c r="F190" s="1915">
        <v>39.69</v>
      </c>
      <c r="G190" s="1916">
        <v>40.340000000000003</v>
      </c>
      <c r="H190" s="1917">
        <f t="shared" ref="H190" si="181">+E190*F190</f>
        <v>6548.8499999999995</v>
      </c>
      <c r="I190" s="1891">
        <f t="shared" si="114"/>
        <v>6656.1</v>
      </c>
      <c r="J190" s="1918">
        <v>0</v>
      </c>
      <c r="K190" s="1919">
        <v>0</v>
      </c>
      <c r="L190" s="1920"/>
      <c r="M190" s="1921">
        <f t="shared" ref="M190" si="182">L190*G190</f>
        <v>0</v>
      </c>
      <c r="N190" s="1922">
        <f t="shared" ref="N190" si="183">J190+L190</f>
        <v>0</v>
      </c>
      <c r="O190" s="1923">
        <f>N190*G190</f>
        <v>0</v>
      </c>
      <c r="P190" s="1924">
        <f>+IF(D190=0,"",O190/I190)</f>
        <v>0</v>
      </c>
      <c r="Q190" s="1925">
        <f t="shared" ref="Q190" si="184">E190-N190</f>
        <v>165</v>
      </c>
      <c r="R190" s="1926">
        <f>ROUND((Q190*G190),2)</f>
        <v>6656.1</v>
      </c>
      <c r="S190" s="1927">
        <f>+IF(I190=0,"",R190/I190)</f>
        <v>1</v>
      </c>
      <c r="T190" s="2263"/>
      <c r="U190" s="1423"/>
      <c r="V190" s="1423"/>
      <c r="W190" s="1423"/>
      <c r="X190" s="1434"/>
    </row>
    <row r="191" spans="1:25" s="561" customFormat="1" ht="13.8">
      <c r="B191" s="1253"/>
      <c r="C191" s="1327" t="s">
        <v>59</v>
      </c>
      <c r="D191" s="1328"/>
      <c r="E191" s="1328"/>
      <c r="F191" s="1328"/>
      <c r="G191" s="1328"/>
      <c r="H191" s="1329">
        <f>(SUM(H17:H190))</f>
        <v>2866473.4419000009</v>
      </c>
      <c r="I191" s="1329">
        <f>(SUM(I17:I190))</f>
        <v>2917415.5299999993</v>
      </c>
      <c r="J191" s="1928">
        <f>+K191/I191</f>
        <v>0.16410830333260759</v>
      </c>
      <c r="K191" s="1330">
        <f>SUM(K17:K190)</f>
        <v>478772.11274450005</v>
      </c>
      <c r="L191" s="1692">
        <f>M191/I191</f>
        <v>6.8398739191602234E-2</v>
      </c>
      <c r="M191" s="1430">
        <f>SUM(M17:M190)</f>
        <v>199547.54394999996</v>
      </c>
      <c r="N191" s="1332">
        <f>+O191/I191</f>
        <v>0.23250704252420978</v>
      </c>
      <c r="O191" s="1929">
        <f>SUM(O17:O190)</f>
        <v>678319.65669449989</v>
      </c>
      <c r="P191" s="1930" t="str">
        <f t="shared" ref="P191:P197" si="185">+IF(D191=0,"",O191/H191)</f>
        <v/>
      </c>
      <c r="Q191" s="1332">
        <f>+R191/I191</f>
        <v>0.76749295977045839</v>
      </c>
      <c r="R191" s="1931">
        <f>SUM(R17:R190)</f>
        <v>2239095.88</v>
      </c>
      <c r="S191" s="1376"/>
      <c r="T191" s="1739"/>
      <c r="U191" s="562">
        <f>+R191+O191</f>
        <v>2917415.5366944997</v>
      </c>
      <c r="V191" s="562"/>
      <c r="W191" s="562"/>
      <c r="X191" s="1351">
        <f>+H191</f>
        <v>2866473.4419000009</v>
      </c>
      <c r="Y191" s="562">
        <f>+U191-X191</f>
        <v>50942.094794498757</v>
      </c>
    </row>
    <row r="192" spans="1:25" s="49" customFormat="1" ht="13.8">
      <c r="B192" s="1694"/>
      <c r="C192" s="1695" t="s">
        <v>256</v>
      </c>
      <c r="D192" s="1696"/>
      <c r="E192" s="1697"/>
      <c r="F192" s="1697"/>
      <c r="G192" s="1697"/>
      <c r="H192" s="1334">
        <v>119729.76343418393</v>
      </c>
      <c r="I192" s="1334">
        <v>119729.76343418393</v>
      </c>
      <c r="J192" s="1415"/>
      <c r="K192" s="1415">
        <v>16227.719360701567</v>
      </c>
      <c r="L192" s="1699"/>
      <c r="M192" s="1415">
        <f>+L$191*I192</f>
        <v>8189.3648626069808</v>
      </c>
      <c r="N192" s="1699"/>
      <c r="O192" s="1760">
        <f t="shared" ref="O192:O196" si="186">K192+M192</f>
        <v>24417.08422330855</v>
      </c>
      <c r="P192" s="1932" t="str">
        <f t="shared" si="185"/>
        <v/>
      </c>
      <c r="Q192" s="1701"/>
      <c r="R192" s="1933">
        <f>I192-O192</f>
        <v>95312.679210875387</v>
      </c>
      <c r="S192" s="1702"/>
      <c r="T192" s="2264"/>
      <c r="U192" s="1703"/>
      <c r="V192" s="1703"/>
      <c r="W192" s="1703"/>
      <c r="X192" s="524"/>
    </row>
    <row r="193" spans="2:25" s="561" customFormat="1" ht="13.8">
      <c r="B193" s="1255"/>
      <c r="C193" s="1338" t="s">
        <v>1817</v>
      </c>
      <c r="D193" s="1339"/>
      <c r="E193" s="1333"/>
      <c r="F193" s="1333"/>
      <c r="G193" s="1333"/>
      <c r="H193" s="1334">
        <v>27075.04616385707</v>
      </c>
      <c r="I193" s="1334">
        <v>27075.04616385707</v>
      </c>
      <c r="J193" s="1335"/>
      <c r="K193" s="1415">
        <v>3669.649368902612</v>
      </c>
      <c r="L193" s="1704"/>
      <c r="M193" s="1415">
        <f t="shared" ref="M193:M194" si="187">+L$191*I193</f>
        <v>1851.8990211622504</v>
      </c>
      <c r="N193" s="1336"/>
      <c r="O193" s="1760">
        <f t="shared" si="186"/>
        <v>5521.5483900648624</v>
      </c>
      <c r="P193" s="1932" t="str">
        <f t="shared" si="185"/>
        <v/>
      </c>
      <c r="Q193" s="1701"/>
      <c r="R193" s="1933">
        <f t="shared" ref="R193:R196" si="188">I193-O193</f>
        <v>21553.497773792209</v>
      </c>
      <c r="S193" s="1337"/>
      <c r="T193" s="2265"/>
      <c r="U193" s="562"/>
      <c r="V193" s="562"/>
      <c r="W193" s="562"/>
      <c r="X193" s="1351"/>
    </row>
    <row r="194" spans="2:25" s="561" customFormat="1" ht="13.8">
      <c r="B194" s="1255"/>
      <c r="C194" s="1338" t="s">
        <v>3941</v>
      </c>
      <c r="D194" s="1339"/>
      <c r="E194" s="1333"/>
      <c r="F194" s="1333"/>
      <c r="G194" s="1333"/>
      <c r="H194" s="1334">
        <v>4744.3166181431379</v>
      </c>
      <c r="I194" s="1334">
        <v>4744.3166181431379</v>
      </c>
      <c r="J194" s="1335"/>
      <c r="K194" s="1415">
        <v>643.02673311353419</v>
      </c>
      <c r="L194" s="1704"/>
      <c r="M194" s="1415">
        <f t="shared" si="187"/>
        <v>324.50527500675685</v>
      </c>
      <c r="N194" s="1336"/>
      <c r="O194" s="1760">
        <f t="shared" si="186"/>
        <v>967.53200812029104</v>
      </c>
      <c r="P194" s="1932"/>
      <c r="Q194" s="1701"/>
      <c r="R194" s="1933">
        <f t="shared" si="188"/>
        <v>3776.7846100228471</v>
      </c>
      <c r="S194" s="1337"/>
      <c r="T194" s="2265"/>
      <c r="U194" s="562"/>
      <c r="V194" s="562"/>
      <c r="W194" s="562"/>
      <c r="X194" s="1351"/>
    </row>
    <row r="195" spans="2:25" s="561" customFormat="1" ht="13.8">
      <c r="B195" s="1255"/>
      <c r="C195" s="1340" t="s">
        <v>3574</v>
      </c>
      <c r="D195" s="1341"/>
      <c r="E195" s="1341"/>
      <c r="F195" s="1341"/>
      <c r="G195" s="1341"/>
      <c r="H195" s="1342">
        <f>ROUND(SUM(H191:H194),2)</f>
        <v>3018022.57</v>
      </c>
      <c r="I195" s="1342">
        <f>ROUND(SUM(I191:I194),2)</f>
        <v>3068964.66</v>
      </c>
      <c r="J195" s="1342"/>
      <c r="K195" s="1343">
        <f>SUM(K191:K194)</f>
        <v>499312.50820721773</v>
      </c>
      <c r="L195" s="1934"/>
      <c r="M195" s="1431">
        <f>SUM(M191:M194)</f>
        <v>209913.31310877594</v>
      </c>
      <c r="N195" s="1342"/>
      <c r="O195" s="1935">
        <f>SUM(O191:O194)</f>
        <v>709225.82131599367</v>
      </c>
      <c r="P195" s="1932" t="str">
        <f t="shared" si="185"/>
        <v/>
      </c>
      <c r="Q195" s="1701"/>
      <c r="R195" s="1936">
        <f>SUM(R191:R194)</f>
        <v>2359738.84159469</v>
      </c>
      <c r="S195" s="1345"/>
      <c r="T195" s="1739"/>
      <c r="U195" s="562" t="e">
        <f>+#REF!-R191</f>
        <v>#REF!</v>
      </c>
      <c r="V195" s="562"/>
      <c r="W195" s="562"/>
      <c r="X195" s="1351"/>
    </row>
    <row r="196" spans="2:25" s="561" customFormat="1" ht="13.8">
      <c r="B196" s="1255"/>
      <c r="C196" s="1338" t="s">
        <v>4238</v>
      </c>
      <c r="D196" s="1339"/>
      <c r="E196" s="1333"/>
      <c r="F196" s="1333"/>
      <c r="G196" s="1333"/>
      <c r="H196" s="1334">
        <v>37719.259999999995</v>
      </c>
      <c r="I196" s="1334">
        <v>37719.259999999995</v>
      </c>
      <c r="J196" s="1335"/>
      <c r="K196" s="1415">
        <v>5112.3258596414853</v>
      </c>
      <c r="L196" s="1704"/>
      <c r="M196" s="1415">
        <f>+L191*I196</f>
        <v>2579.9498272402343</v>
      </c>
      <c r="N196" s="1336"/>
      <c r="O196" s="1760">
        <f t="shared" si="186"/>
        <v>7692.2756868817196</v>
      </c>
      <c r="P196" s="1932"/>
      <c r="Q196" s="1701"/>
      <c r="R196" s="1933">
        <f t="shared" si="188"/>
        <v>30026.984313118275</v>
      </c>
      <c r="S196" s="1337"/>
      <c r="T196" s="2265"/>
      <c r="U196" s="562"/>
      <c r="V196" s="562"/>
      <c r="W196" s="562"/>
      <c r="X196" s="1351"/>
    </row>
    <row r="197" spans="2:25" s="1229" customFormat="1" ht="14.4" thickBot="1">
      <c r="B197" s="1256"/>
      <c r="C197" s="1257" t="s">
        <v>61</v>
      </c>
      <c r="D197" s="1257"/>
      <c r="E197" s="1257"/>
      <c r="F197" s="1257"/>
      <c r="G197" s="1257"/>
      <c r="H197" s="1258">
        <f>SUM(H195:H195)+H196</f>
        <v>3055741.8299999996</v>
      </c>
      <c r="I197" s="1258">
        <f>SUM(I195:I195)+I196</f>
        <v>3106683.92</v>
      </c>
      <c r="J197" s="1261">
        <f>+K197/I197</f>
        <v>0.16236760708725695</v>
      </c>
      <c r="K197" s="1259">
        <f>SUM(K195:K196)</f>
        <v>504424.83406685921</v>
      </c>
      <c r="L197" s="1706">
        <f>M197/I197</f>
        <v>6.8398739108295303E-2</v>
      </c>
      <c r="M197" s="1432">
        <f>SUM(M195:M196)</f>
        <v>212493.26293601617</v>
      </c>
      <c r="N197" s="1261">
        <f>O197/I197</f>
        <v>0.23076634619555228</v>
      </c>
      <c r="O197" s="1937">
        <f>SUM(O195:O196)</f>
        <v>716918.09700287541</v>
      </c>
      <c r="P197" s="1938" t="str">
        <f t="shared" si="185"/>
        <v/>
      </c>
      <c r="Q197" s="1261">
        <f>+R197/I197</f>
        <v>0.76923365605857974</v>
      </c>
      <c r="R197" s="1939">
        <f>ROUND(SUM(R195:R196),2)</f>
        <v>2389765.83</v>
      </c>
      <c r="S197" s="1709"/>
      <c r="T197" s="2266"/>
      <c r="U197" s="562">
        <f>+H197</f>
        <v>3055741.8299999996</v>
      </c>
      <c r="V197" s="562"/>
      <c r="W197" s="562"/>
      <c r="X197" s="1351">
        <f>+O197+R197</f>
        <v>3106683.9270028756</v>
      </c>
      <c r="Y197" s="562">
        <f>+U197-X197</f>
        <v>-50942.097002875991</v>
      </c>
    </row>
    <row r="198" spans="2:25" s="18" customFormat="1" ht="13.8">
      <c r="D198" s="97"/>
      <c r="E198" s="523"/>
      <c r="F198" s="523"/>
      <c r="G198" s="523"/>
      <c r="J198" s="1208"/>
      <c r="K198" s="97"/>
      <c r="L198" s="1440"/>
      <c r="M198" s="524"/>
      <c r="N198" s="524"/>
      <c r="O198" s="524"/>
      <c r="P198" s="524"/>
      <c r="Q198" s="1732"/>
      <c r="R198" s="26"/>
    </row>
    <row r="199" spans="2:25" s="18" customFormat="1" ht="14.4">
      <c r="D199" s="97"/>
      <c r="E199" s="523"/>
      <c r="F199" s="523"/>
      <c r="G199" s="523"/>
      <c r="H199" s="26"/>
      <c r="I199" s="1940">
        <f>I191-H191</f>
        <v>50942.088099998422</v>
      </c>
      <c r="J199" s="1208"/>
      <c r="K199" s="1853"/>
      <c r="L199" s="1440"/>
      <c r="M199" s="1734"/>
      <c r="N199" s="524">
        <f>+K191+M191</f>
        <v>678319.65669450001</v>
      </c>
      <c r="O199" s="524">
        <f>+R191+O191</f>
        <v>2917415.5366944997</v>
      </c>
      <c r="P199" s="524"/>
      <c r="Q199" s="1735"/>
      <c r="R199" s="26"/>
    </row>
    <row r="200" spans="2:25" s="18" customFormat="1" ht="13.8">
      <c r="D200" s="1736"/>
      <c r="E200" s="523"/>
      <c r="F200" s="523">
        <v>457948.8995</v>
      </c>
      <c r="G200" s="523"/>
      <c r="H200" s="26">
        <v>15398736.550000001</v>
      </c>
      <c r="I200" s="26"/>
      <c r="J200" s="1209"/>
      <c r="K200" s="1853">
        <v>616776.95999999996</v>
      </c>
      <c r="L200" s="1440"/>
      <c r="M200" s="524"/>
      <c r="N200" s="1734">
        <f>+M201-N191</f>
        <v>6.7492957475790205E-2</v>
      </c>
      <c r="O200" s="524">
        <f>+N200*H191</f>
        <v>193466.77011963874</v>
      </c>
      <c r="P200" s="524"/>
      <c r="Q200" s="1735"/>
      <c r="S200" s="200"/>
      <c r="T200" s="200"/>
    </row>
    <row r="201" spans="2:25" s="18" customFormat="1" ht="13.8">
      <c r="D201" s="97">
        <v>6.4802882051551394E-2</v>
      </c>
      <c r="E201" s="523"/>
      <c r="F201" s="523"/>
      <c r="G201" s="523"/>
      <c r="H201" s="26"/>
      <c r="I201" s="26"/>
      <c r="J201" s="1209"/>
      <c r="K201" s="1737"/>
      <c r="L201" s="1738"/>
      <c r="M201" s="524">
        <v>0.3</v>
      </c>
      <c r="N201" s="524"/>
      <c r="O201" s="524"/>
      <c r="P201" s="524"/>
      <c r="Q201" s="1735"/>
      <c r="R201" s="26"/>
      <c r="S201" s="1739">
        <f>+R197+H197</f>
        <v>5445507.6600000001</v>
      </c>
      <c r="T201" s="1739"/>
      <c r="U201" s="1740"/>
    </row>
    <row r="202" spans="2:25" s="18" customFormat="1" ht="13.8">
      <c r="D202" s="1941">
        <f>+H191*D201</f>
        <v>185755.74035935031</v>
      </c>
      <c r="E202" s="97"/>
      <c r="F202" s="97"/>
      <c r="G202" s="97"/>
      <c r="H202" s="26">
        <f>+H200-H191</f>
        <v>12532263.108100001</v>
      </c>
      <c r="I202" s="26"/>
      <c r="J202" s="1209"/>
      <c r="K202" s="1412">
        <f>+K200-K192</f>
        <v>600549.24063929834</v>
      </c>
      <c r="L202" s="1440"/>
      <c r="M202" s="524"/>
      <c r="N202" s="524"/>
      <c r="O202" s="524"/>
      <c r="P202" s="524"/>
      <c r="Q202" s="1735"/>
    </row>
    <row r="203" spans="2:25" ht="13.8">
      <c r="F203" s="1237">
        <f>+H192/H191</f>
        <v>4.1769011944803779E-2</v>
      </c>
      <c r="H203" s="1741"/>
      <c r="I203" s="1741"/>
      <c r="J203" s="1741"/>
      <c r="K203" s="1322"/>
      <c r="M203" s="1742" t="e">
        <f>SUM(#REF!)</f>
        <v>#REF!</v>
      </c>
      <c r="N203" s="1743" t="e">
        <f>SUM(#REF!)</f>
        <v>#REF!</v>
      </c>
      <c r="O203" s="1743"/>
      <c r="P203" s="1743"/>
      <c r="Q203" s="1735"/>
      <c r="X203" s="1215"/>
    </row>
    <row r="204" spans="2:25" ht="13.8">
      <c r="F204" s="1237">
        <f>+H193/H191</f>
        <v>9.4454202045251689E-3</v>
      </c>
      <c r="H204" s="1741"/>
      <c r="I204" s="1741"/>
      <c r="J204" s="1741"/>
      <c r="K204" s="1322">
        <v>3211.18999999994</v>
      </c>
      <c r="L204" s="1442"/>
      <c r="M204" s="1742"/>
      <c r="N204" s="1743"/>
      <c r="O204" s="1743"/>
      <c r="P204" s="1743"/>
      <c r="Q204" s="1735"/>
      <c r="X204" s="1215"/>
    </row>
    <row r="205" spans="2:25" ht="13.8">
      <c r="H205" s="1741"/>
      <c r="I205" s="1741"/>
      <c r="J205" s="1741"/>
      <c r="K205" s="1323"/>
      <c r="L205" s="1442"/>
      <c r="M205" s="1742"/>
      <c r="N205" s="1734" t="e">
        <f>+N203/H191</f>
        <v>#REF!</v>
      </c>
      <c r="O205" s="1743"/>
      <c r="P205" s="1743"/>
      <c r="Q205" s="1735"/>
      <c r="R205" s="1744"/>
      <c r="X205" s="1215"/>
    </row>
    <row r="206" spans="2:25" ht="15.6">
      <c r="D206" s="1237"/>
      <c r="H206" s="1741"/>
      <c r="I206" s="1741"/>
      <c r="J206" s="1741"/>
      <c r="K206" s="1302"/>
      <c r="L206" s="1442"/>
      <c r="M206" s="1742"/>
      <c r="N206" s="1743"/>
      <c r="O206" s="1743"/>
      <c r="P206" s="1743"/>
      <c r="Q206" s="1735"/>
      <c r="R206" s="1744"/>
      <c r="X206" s="1215"/>
    </row>
    <row r="207" spans="2:25" ht="13.8">
      <c r="H207" s="1741"/>
      <c r="I207" s="1741"/>
      <c r="J207" s="1741"/>
      <c r="K207" s="18"/>
      <c r="L207" s="1442"/>
      <c r="M207" s="1742"/>
      <c r="N207" s="1743"/>
      <c r="O207" s="1743"/>
      <c r="P207" s="1743"/>
      <c r="Q207" s="1735"/>
      <c r="R207" s="1744"/>
      <c r="X207" s="1215"/>
    </row>
    <row r="208" spans="2:25" ht="13.8">
      <c r="H208" s="1741"/>
      <c r="I208" s="1741"/>
      <c r="J208" s="1741"/>
      <c r="K208" s="1741"/>
      <c r="L208" s="1442"/>
      <c r="M208" s="1742"/>
      <c r="N208" s="1743"/>
      <c r="O208" s="1743"/>
      <c r="P208" s="1743"/>
      <c r="Q208" s="1735"/>
      <c r="R208" s="1744"/>
      <c r="X208" s="1215"/>
    </row>
    <row r="209" spans="8:24" ht="13.8">
      <c r="H209" s="1741"/>
      <c r="I209" s="1741"/>
      <c r="J209" s="1741"/>
      <c r="K209" s="1741"/>
      <c r="L209" s="1442"/>
      <c r="M209" s="1742"/>
      <c r="N209" s="1743"/>
      <c r="O209" s="1743"/>
      <c r="P209" s="1743"/>
      <c r="Q209" s="1735"/>
      <c r="R209" s="1744"/>
      <c r="X209" s="1215"/>
    </row>
    <row r="210" spans="8:24" ht="13.8">
      <c r="H210" s="1741"/>
      <c r="I210" s="1741"/>
      <c r="J210" s="1741"/>
      <c r="K210" s="1741"/>
      <c r="L210" s="1442"/>
      <c r="M210" s="1742"/>
      <c r="N210" s="1743"/>
      <c r="O210" s="1743"/>
      <c r="P210" s="1743"/>
      <c r="Q210" s="1735"/>
      <c r="R210" s="1744"/>
      <c r="X210" s="1215"/>
    </row>
    <row r="211" spans="8:24" ht="13.8">
      <c r="H211" s="1741"/>
      <c r="I211" s="1741"/>
      <c r="J211" s="1741"/>
      <c r="K211" s="1741"/>
      <c r="L211" s="1442"/>
      <c r="M211" s="1742"/>
      <c r="N211" s="1743"/>
      <c r="O211" s="1743"/>
      <c r="P211" s="1743"/>
      <c r="Q211" s="1735"/>
      <c r="R211" s="1744"/>
      <c r="X211" s="1215"/>
    </row>
    <row r="212" spans="8:24" ht="13.8">
      <c r="H212" s="1741"/>
      <c r="I212" s="1741"/>
      <c r="J212" s="1741"/>
      <c r="K212" s="1741"/>
      <c r="L212" s="1442"/>
      <c r="M212" s="1742"/>
      <c r="N212" s="1743"/>
      <c r="O212" s="1743"/>
      <c r="P212" s="1743"/>
      <c r="Q212" s="1735"/>
      <c r="R212" s="1744"/>
      <c r="X212" s="1215"/>
    </row>
    <row r="213" spans="8:24" ht="13.8">
      <c r="H213" s="1741"/>
      <c r="I213" s="1741"/>
      <c r="J213" s="1741"/>
      <c r="K213" s="1745"/>
      <c r="L213" s="1442"/>
      <c r="M213" s="1742"/>
      <c r="N213" s="1743"/>
      <c r="O213" s="1743"/>
      <c r="P213" s="1743"/>
      <c r="Q213" s="1735"/>
      <c r="R213" s="1744"/>
      <c r="X213" s="1215"/>
    </row>
    <row r="214" spans="8:24" ht="13.8">
      <c r="H214" s="1741"/>
      <c r="I214" s="1741"/>
      <c r="J214" s="1741"/>
      <c r="K214" s="1741"/>
      <c r="L214" s="1442"/>
      <c r="M214" s="1742"/>
      <c r="N214" s="1743"/>
      <c r="O214" s="1743"/>
      <c r="P214" s="1743"/>
      <c r="Q214" s="1735"/>
      <c r="R214" s="1744"/>
      <c r="X214" s="1215"/>
    </row>
  </sheetData>
  <autoFilter ref="C1:C214" xr:uid="{00000000-0009-0000-0000-00001E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X13:Z13"/>
    <mergeCell ref="K13:K14"/>
    <mergeCell ref="L13:L14"/>
    <mergeCell ref="M13:M14"/>
    <mergeCell ref="N13:N14"/>
    <mergeCell ref="O13:O14"/>
    <mergeCell ref="P13:P14"/>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A283"/>
  <sheetViews>
    <sheetView view="pageBreakPreview" topLeftCell="C9" zoomScale="90" zoomScaleNormal="70" zoomScaleSheetLayoutView="90" workbookViewId="0">
      <pane ySplit="1152" topLeftCell="A52" activePane="bottomLeft"/>
      <selection activeCell="C203" sqref="C203"/>
      <selection pane="bottomLeft" activeCell="K17" sqref="K17"/>
    </sheetView>
  </sheetViews>
  <sheetFormatPr baseColWidth="10" defaultRowHeight="13.2"/>
  <cols>
    <col min="1" max="1" width="4.109375" style="1215" customWidth="1"/>
    <col min="2" max="2" width="11.109375" style="1215" customWidth="1"/>
    <col min="3" max="3" width="51" style="1225" customWidth="1"/>
    <col min="4" max="4" width="10.5546875" style="1218" customWidth="1"/>
    <col min="5" max="5" width="10.5546875" style="1226" customWidth="1"/>
    <col min="6" max="6" width="10.5546875" style="1237" hidden="1" customWidth="1"/>
    <col min="7" max="7" width="13.33203125" style="1237" customWidth="1"/>
    <col min="8" max="8" width="13.88671875" style="1226" hidden="1" customWidth="1"/>
    <col min="9" max="9" width="13.6640625" style="1226" customWidth="1"/>
    <col min="10" max="11" width="12.5546875" style="1218" customWidth="1"/>
    <col min="12" max="12" width="12.5546875" style="1438" customWidth="1"/>
    <col min="13" max="13" width="12.5546875" style="1413" customWidth="1"/>
    <col min="14" max="14" width="12.5546875" style="1218" customWidth="1"/>
    <col min="15" max="15" width="14.5546875" style="1218" customWidth="1"/>
    <col min="16" max="16" width="12.5546875" style="1218" customWidth="1"/>
    <col min="17" max="17" width="12.5546875" style="1215" customWidth="1"/>
    <col min="18" max="18" width="14.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2:25" s="1614" customFormat="1" ht="13.8">
      <c r="B1" s="3053" t="s">
        <v>12</v>
      </c>
      <c r="C1" s="3053"/>
      <c r="D1" s="3053"/>
      <c r="E1" s="3053"/>
      <c r="F1" s="3053"/>
      <c r="G1" s="3053"/>
      <c r="H1" s="3053"/>
      <c r="I1" s="3053"/>
      <c r="J1" s="3053"/>
      <c r="K1" s="3053"/>
      <c r="L1" s="3054"/>
      <c r="M1" s="3055"/>
      <c r="N1" s="3053"/>
      <c r="O1" s="3053"/>
      <c r="P1" s="3053"/>
      <c r="Q1" s="3053"/>
      <c r="R1" s="3053"/>
      <c r="S1" s="3053"/>
      <c r="W1" s="1615"/>
    </row>
    <row r="2" spans="2:25" s="1614" customFormat="1" ht="13.8">
      <c r="B2" s="3056" t="s">
        <v>4364</v>
      </c>
      <c r="C2" s="3056"/>
      <c r="D2" s="3056"/>
      <c r="E2" s="3056"/>
      <c r="F2" s="3056"/>
      <c r="G2" s="3056"/>
      <c r="H2" s="3056"/>
      <c r="I2" s="3056"/>
      <c r="J2" s="3056"/>
      <c r="K2" s="3056"/>
      <c r="L2" s="3056"/>
      <c r="M2" s="3056"/>
      <c r="N2" s="3056"/>
      <c r="O2" s="3056"/>
      <c r="P2" s="3056"/>
      <c r="Q2" s="3056"/>
      <c r="R2" s="3056"/>
      <c r="S2" s="3056"/>
      <c r="W2" s="1615"/>
    </row>
    <row r="3" spans="2:25" s="1614" customFormat="1" ht="13.8">
      <c r="B3" s="3053" t="s">
        <v>4381</v>
      </c>
      <c r="C3" s="3053"/>
      <c r="D3" s="3053"/>
      <c r="E3" s="3053"/>
      <c r="F3" s="3053"/>
      <c r="G3" s="3053"/>
      <c r="H3" s="3053"/>
      <c r="I3" s="3053"/>
      <c r="J3" s="3053"/>
      <c r="K3" s="3053"/>
      <c r="L3" s="3054"/>
      <c r="M3" s="3055"/>
      <c r="N3" s="3053"/>
      <c r="O3" s="3053"/>
      <c r="P3" s="3053"/>
      <c r="Q3" s="3053"/>
      <c r="R3" s="3053"/>
      <c r="S3" s="3053"/>
      <c r="W3" s="1615"/>
    </row>
    <row r="4" spans="2:25" ht="28.35" customHeight="1">
      <c r="B4" s="1616"/>
      <c r="C4" s="1617" t="s">
        <v>6</v>
      </c>
      <c r="D4" s="1618" t="s">
        <v>4</v>
      </c>
      <c r="E4" s="3057" t="s">
        <v>2833</v>
      </c>
      <c r="F4" s="3057"/>
      <c r="G4" s="3057"/>
      <c r="H4" s="3057"/>
      <c r="I4" s="3057"/>
      <c r="J4" s="3057"/>
      <c r="K4" s="3057"/>
      <c r="L4" s="3057"/>
      <c r="M4" s="3057"/>
      <c r="N4" s="3057"/>
      <c r="O4" s="3057"/>
      <c r="P4" s="1619" t="s">
        <v>13</v>
      </c>
      <c r="Q4" s="1620"/>
      <c r="R4" s="3016">
        <f ca="1">TODAY()</f>
        <v>44559</v>
      </c>
      <c r="S4" s="3016"/>
      <c r="W4" s="1215"/>
    </row>
    <row r="5" spans="2:25">
      <c r="B5" s="1621"/>
      <c r="C5" s="1622" t="s">
        <v>5</v>
      </c>
      <c r="D5" s="1623" t="s">
        <v>4</v>
      </c>
      <c r="E5" s="1624" t="s">
        <v>533</v>
      </c>
      <c r="F5" s="1621"/>
      <c r="G5" s="1621"/>
      <c r="H5" s="1621"/>
      <c r="I5" s="1621"/>
      <c r="J5" s="1621"/>
      <c r="K5" s="1616"/>
      <c r="L5" s="1350"/>
      <c r="M5" s="1625"/>
      <c r="N5" s="1616"/>
      <c r="O5" s="1616"/>
      <c r="P5" s="1621" t="s">
        <v>14</v>
      </c>
      <c r="Q5" s="1626"/>
      <c r="R5" s="1621"/>
      <c r="S5" s="1627" t="s">
        <v>536</v>
      </c>
      <c r="W5" s="1215"/>
    </row>
    <row r="6" spans="2:25">
      <c r="B6" s="1626"/>
      <c r="C6" s="1622" t="s">
        <v>15</v>
      </c>
      <c r="D6" s="1623" t="s">
        <v>4</v>
      </c>
      <c r="E6" s="1624" t="s">
        <v>3678</v>
      </c>
      <c r="F6" s="1616"/>
      <c r="G6" s="1616"/>
      <c r="H6" s="1626"/>
      <c r="I6" s="1626"/>
      <c r="J6" s="1616"/>
      <c r="K6" s="1616"/>
      <c r="L6" s="1349"/>
      <c r="M6" s="1625"/>
      <c r="N6" s="1616"/>
      <c r="O6" s="1616"/>
      <c r="P6" s="1621" t="s">
        <v>16</v>
      </c>
      <c r="Q6" s="1626"/>
      <c r="R6" s="1626"/>
      <c r="S6" s="1627" t="s">
        <v>536</v>
      </c>
      <c r="W6" s="1215"/>
    </row>
    <row r="7" spans="2:25">
      <c r="B7" s="1626"/>
      <c r="C7" s="1622" t="s">
        <v>17</v>
      </c>
      <c r="D7" s="1623" t="s">
        <v>4</v>
      </c>
      <c r="E7" s="1624" t="s">
        <v>11</v>
      </c>
      <c r="F7" s="1616"/>
      <c r="G7" s="1616"/>
      <c r="H7" s="1626"/>
      <c r="I7" s="1626"/>
      <c r="J7" s="1616"/>
      <c r="K7" s="1616"/>
      <c r="L7" s="1349"/>
      <c r="M7" s="1623"/>
      <c r="N7" s="1628"/>
      <c r="O7" s="1616"/>
      <c r="P7" s="1621" t="s">
        <v>18</v>
      </c>
      <c r="Q7" s="1626"/>
      <c r="R7" s="1629"/>
      <c r="S7" s="1627" t="s">
        <v>10</v>
      </c>
      <c r="W7" s="1215"/>
    </row>
    <row r="8" spans="2:25" ht="13.8" thickBot="1">
      <c r="B8" s="1626"/>
      <c r="C8" s="1622" t="s">
        <v>19</v>
      </c>
      <c r="D8" s="1623" t="s">
        <v>4</v>
      </c>
      <c r="E8" s="1630">
        <v>2021</v>
      </c>
      <c r="F8" s="1616"/>
      <c r="G8" s="1616"/>
      <c r="H8" s="1626"/>
      <c r="I8" s="1626"/>
      <c r="J8" s="1616"/>
      <c r="K8" s="1616"/>
      <c r="L8" s="1349"/>
      <c r="M8" s="1625"/>
      <c r="N8" s="1628"/>
      <c r="O8" s="1631"/>
      <c r="P8" s="1616"/>
      <c r="Q8" s="1626"/>
      <c r="R8" s="1626"/>
      <c r="S8" s="1626"/>
      <c r="W8" s="1215"/>
    </row>
    <row r="9" spans="2:25" ht="13.8" thickBot="1">
      <c r="B9" s="3036" t="s">
        <v>20</v>
      </c>
      <c r="C9" s="3036" t="s">
        <v>21</v>
      </c>
      <c r="D9" s="3059" t="s">
        <v>22</v>
      </c>
      <c r="E9" s="3038" t="s">
        <v>23</v>
      </c>
      <c r="F9" s="3039"/>
      <c r="G9" s="3039"/>
      <c r="H9" s="3040"/>
      <c r="I9" s="1748"/>
      <c r="J9" s="3044" t="s">
        <v>24</v>
      </c>
      <c r="K9" s="3046"/>
      <c r="L9" s="3062"/>
      <c r="M9" s="3063"/>
      <c r="N9" s="3046"/>
      <c r="O9" s="3046"/>
      <c r="P9" s="3045"/>
      <c r="Q9" s="3038" t="s">
        <v>25</v>
      </c>
      <c r="R9" s="3039"/>
      <c r="S9" s="3040"/>
    </row>
    <row r="10" spans="2:25" ht="13.8" thickBot="1">
      <c r="B10" s="3058"/>
      <c r="C10" s="3058"/>
      <c r="D10" s="3060"/>
      <c r="E10" s="3041"/>
      <c r="F10" s="3042"/>
      <c r="G10" s="3042"/>
      <c r="H10" s="3043"/>
      <c r="I10" s="1749"/>
      <c r="J10" s="3044" t="s">
        <v>26</v>
      </c>
      <c r="K10" s="3045"/>
      <c r="L10" s="3044" t="s">
        <v>27</v>
      </c>
      <c r="M10" s="3045"/>
      <c r="N10" s="3044" t="s">
        <v>28</v>
      </c>
      <c r="O10" s="3046"/>
      <c r="P10" s="3045"/>
      <c r="Q10" s="3041"/>
      <c r="R10" s="3042"/>
      <c r="S10" s="3043"/>
    </row>
    <row r="11" spans="2:25" ht="13.8" thickBot="1">
      <c r="B11" s="3058"/>
      <c r="C11" s="3058"/>
      <c r="D11" s="3060"/>
      <c r="E11" s="3036" t="s">
        <v>29</v>
      </c>
      <c r="F11" s="3036" t="s">
        <v>30</v>
      </c>
      <c r="G11" s="3047" t="s">
        <v>3942</v>
      </c>
      <c r="H11" s="3049" t="s">
        <v>3944</v>
      </c>
      <c r="I11" s="3047" t="s">
        <v>3943</v>
      </c>
      <c r="J11" s="3036" t="s">
        <v>3</v>
      </c>
      <c r="K11" s="3036" t="s">
        <v>32</v>
      </c>
      <c r="L11" s="2869" t="s">
        <v>3</v>
      </c>
      <c r="M11" s="3036" t="s">
        <v>32</v>
      </c>
      <c r="N11" s="3036" t="s">
        <v>3</v>
      </c>
      <c r="O11" s="3036" t="s">
        <v>32</v>
      </c>
      <c r="P11" s="3036" t="s">
        <v>0</v>
      </c>
      <c r="Q11" s="3036" t="s">
        <v>3</v>
      </c>
      <c r="R11" s="3051" t="s">
        <v>32</v>
      </c>
      <c r="S11" s="3036" t="s">
        <v>0</v>
      </c>
      <c r="W11" s="2972" t="s">
        <v>3624</v>
      </c>
      <c r="X11" s="2973"/>
      <c r="Y11" s="2974"/>
    </row>
    <row r="12" spans="2:25" ht="13.8" thickBot="1">
      <c r="B12" s="3037"/>
      <c r="C12" s="3037"/>
      <c r="D12" s="3061"/>
      <c r="E12" s="3037"/>
      <c r="F12" s="3037"/>
      <c r="G12" s="3048"/>
      <c r="H12" s="3050"/>
      <c r="I12" s="3048"/>
      <c r="J12" s="3037"/>
      <c r="K12" s="3037"/>
      <c r="L12" s="2871"/>
      <c r="M12" s="3037"/>
      <c r="N12" s="3037"/>
      <c r="O12" s="3037"/>
      <c r="P12" s="3037"/>
      <c r="Q12" s="3037"/>
      <c r="R12" s="3052"/>
      <c r="S12" s="3037"/>
    </row>
    <row r="13" spans="2:25" ht="9" customHeight="1" thickBot="1">
      <c r="B13" s="1632"/>
      <c r="C13" s="1633"/>
      <c r="D13" s="1634"/>
      <c r="E13" s="1632"/>
      <c r="F13" s="1633"/>
      <c r="G13" s="1633"/>
      <c r="H13" s="1635"/>
      <c r="I13" s="1633"/>
      <c r="J13" s="1632"/>
      <c r="K13" s="1634"/>
      <c r="L13" s="1359"/>
      <c r="M13" s="1634"/>
      <c r="N13" s="1632"/>
      <c r="O13" s="1633"/>
      <c r="P13" s="1635"/>
      <c r="Q13" s="1632"/>
      <c r="R13" s="1636"/>
      <c r="S13" s="1635"/>
    </row>
    <row r="14" spans="2:25" s="1653" customFormat="1" ht="28.5" customHeight="1" thickBot="1">
      <c r="B14" s="1637"/>
      <c r="C14" s="1638" t="s">
        <v>3743</v>
      </c>
      <c r="D14" s="1639"/>
      <c r="E14" s="1640"/>
      <c r="F14" s="1641"/>
      <c r="G14" s="1750"/>
      <c r="H14" s="1642"/>
      <c r="I14" s="1751"/>
      <c r="J14" s="1643"/>
      <c r="K14" s="1644"/>
      <c r="L14" s="2301"/>
      <c r="M14" s="1645"/>
      <c r="N14" s="1646"/>
      <c r="O14" s="1647"/>
      <c r="P14" s="1648"/>
      <c r="Q14" s="1646"/>
      <c r="R14" s="1649"/>
      <c r="S14" s="1648"/>
      <c r="T14" s="1650"/>
      <c r="U14" s="1650"/>
      <c r="V14" s="1650"/>
      <c r="W14" s="1651" t="s">
        <v>3625</v>
      </c>
      <c r="X14" s="1429"/>
      <c r="Y14" s="1652">
        <f>SUM(M16:M257)</f>
        <v>87330.904018000001</v>
      </c>
    </row>
    <row r="15" spans="2:25" s="1429" customFormat="1" ht="13.8">
      <c r="B15" s="2129" t="s">
        <v>33</v>
      </c>
      <c r="C15" s="2130" t="s">
        <v>3626</v>
      </c>
      <c r="D15" s="1655"/>
      <c r="E15" s="1656"/>
      <c r="F15" s="1657"/>
      <c r="G15" s="1753"/>
      <c r="H15" s="1658"/>
      <c r="I15" s="1754"/>
      <c r="J15" s="1659"/>
      <c r="K15" s="1660"/>
      <c r="L15" s="1882"/>
      <c r="M15" s="1661"/>
      <c r="N15" s="1662"/>
      <c r="O15" s="1663"/>
      <c r="P15" s="1664" t="str">
        <f t="shared" ref="P15" si="0">+IF(D15=0,"",O15/H15)</f>
        <v/>
      </c>
      <c r="Q15" s="1662"/>
      <c r="R15" s="1663"/>
      <c r="S15" s="1664"/>
      <c r="T15" s="1652"/>
      <c r="U15" s="1652"/>
      <c r="V15" s="1652"/>
      <c r="W15" s="1651" t="s">
        <v>3626</v>
      </c>
      <c r="Y15" s="1665" t="e">
        <f>SUM(#REF!)</f>
        <v>#REF!</v>
      </c>
    </row>
    <row r="16" spans="2:25" s="1417" customFormat="1" ht="13.8">
      <c r="B16" s="1752" t="s">
        <v>35</v>
      </c>
      <c r="C16" s="1746" t="s">
        <v>2899</v>
      </c>
      <c r="D16" s="1667"/>
      <c r="E16" s="1668"/>
      <c r="F16" s="1669"/>
      <c r="G16" s="1755"/>
      <c r="H16" s="1670"/>
      <c r="I16" s="1756"/>
      <c r="J16" s="1671"/>
      <c r="K16" s="1672"/>
      <c r="L16" s="1895"/>
      <c r="M16" s="1673"/>
      <c r="N16" s="1674"/>
      <c r="O16" s="1675"/>
      <c r="P16" s="1676"/>
      <c r="Q16" s="1677"/>
      <c r="R16" s="1678"/>
      <c r="S16" s="1679"/>
      <c r="T16" s="1423">
        <f>+R16+O16</f>
        <v>0</v>
      </c>
      <c r="U16" s="1423">
        <f t="shared" ref="U16:U23" si="1">+H16</f>
        <v>0</v>
      </c>
      <c r="V16" s="1423">
        <f>+U16-T16</f>
        <v>0</v>
      </c>
      <c r="W16" s="1434" t="s">
        <v>1234</v>
      </c>
      <c r="Y16" s="1424" t="e">
        <f>SUM(#REF!)</f>
        <v>#REF!</v>
      </c>
    </row>
    <row r="17" spans="1:27" s="1416" customFormat="1" ht="13.8">
      <c r="B17" s="1654" t="s">
        <v>537</v>
      </c>
      <c r="C17" s="1666" t="s">
        <v>2900</v>
      </c>
      <c r="D17" s="1667" t="s">
        <v>40</v>
      </c>
      <c r="E17" s="1668">
        <v>4181.8100000000004</v>
      </c>
      <c r="F17" s="1669">
        <v>5.41</v>
      </c>
      <c r="G17" s="1755">
        <v>5.6</v>
      </c>
      <c r="H17" s="1670">
        <f>ROUND(E17*F17,2)</f>
        <v>22623.59</v>
      </c>
      <c r="I17" s="1670">
        <f>ROUND(E17*G17,2)</f>
        <v>23418.14</v>
      </c>
      <c r="J17" s="1671">
        <v>4181.8057599999993</v>
      </c>
      <c r="K17" s="1672">
        <v>23418.112255999993</v>
      </c>
      <c r="L17" s="1895"/>
      <c r="M17" s="1673">
        <f>+L17*G17</f>
        <v>0</v>
      </c>
      <c r="N17" s="1674">
        <f t="shared" ref="N17:N79" si="2">J17+L17</f>
        <v>4181.8057599999993</v>
      </c>
      <c r="O17" s="1675">
        <f>N17*G17</f>
        <v>23418.112255999993</v>
      </c>
      <c r="P17" s="1676">
        <f>+IF(D17=0,"",O17/I17)</f>
        <v>0.99999881527738721</v>
      </c>
      <c r="Q17" s="1677">
        <f>E17-N17</f>
        <v>4.2400000011184602E-3</v>
      </c>
      <c r="R17" s="1678">
        <f>ROUND((Q17*G17),2)</f>
        <v>0.02</v>
      </c>
      <c r="S17" s="1679">
        <f>+IF(I17=0,"",R17/I17)</f>
        <v>8.5403879215001705E-7</v>
      </c>
      <c r="T17" s="1423">
        <f t="shared" ref="T17:T23" si="3">+R17+O17</f>
        <v>23418.132255999994</v>
      </c>
      <c r="U17" s="1423">
        <f t="shared" si="1"/>
        <v>22623.59</v>
      </c>
      <c r="V17" s="1423">
        <f t="shared" ref="V17:V23" si="4">+U17-T17</f>
        <v>-794.54225599999336</v>
      </c>
      <c r="W17" s="1434" t="s">
        <v>3627</v>
      </c>
      <c r="X17" s="1417"/>
      <c r="Y17" s="1424" t="e">
        <f>SUM(#REF!)</f>
        <v>#REF!</v>
      </c>
    </row>
    <row r="18" spans="1:27" s="1416" customFormat="1" ht="13.8">
      <c r="A18" s="1429"/>
      <c r="B18" s="1654" t="s">
        <v>538</v>
      </c>
      <c r="C18" s="1666" t="s">
        <v>2902</v>
      </c>
      <c r="D18" s="1667" t="s">
        <v>40</v>
      </c>
      <c r="E18" s="1668">
        <v>1757.44</v>
      </c>
      <c r="F18" s="1669">
        <v>46.72</v>
      </c>
      <c r="G18" s="1755">
        <v>48.65</v>
      </c>
      <c r="H18" s="1670">
        <f t="shared" ref="H18:H81" si="5">ROUND(E18*F18,2)</f>
        <v>82107.600000000006</v>
      </c>
      <c r="I18" s="1670">
        <f t="shared" ref="I18:I81" si="6">ROUND(E18*G18,2)</f>
        <v>85499.46</v>
      </c>
      <c r="J18" s="1671">
        <v>1199.78</v>
      </c>
      <c r="K18" s="1672">
        <v>58369.296999999999</v>
      </c>
      <c r="L18" s="1895"/>
      <c r="M18" s="1673">
        <f t="shared" ref="M18:M81" si="7">+L18*G18</f>
        <v>0</v>
      </c>
      <c r="N18" s="1674">
        <f t="shared" si="2"/>
        <v>1199.78</v>
      </c>
      <c r="O18" s="1675">
        <f t="shared" ref="O18:O81" si="8">N18*G18</f>
        <v>58369.296999999999</v>
      </c>
      <c r="P18" s="1676">
        <f t="shared" ref="P18:P81" si="9">+IF(D18=0,"",O18/I18)</f>
        <v>0.68268614795929694</v>
      </c>
      <c r="Q18" s="1677">
        <f t="shared" ref="Q18:Q79" si="10">E18-N18</f>
        <v>557.66000000000008</v>
      </c>
      <c r="R18" s="1678">
        <f t="shared" ref="R18:R81" si="11">ROUND((Q18*G18),2)</f>
        <v>27130.16</v>
      </c>
      <c r="S18" s="1679">
        <f t="shared" ref="S18:S81" si="12">+IF(I18=0,"",R18/I18)</f>
        <v>0.31731381695276201</v>
      </c>
      <c r="T18" s="1423">
        <f t="shared" si="3"/>
        <v>85499.456999999995</v>
      </c>
      <c r="U18" s="1423">
        <f t="shared" si="1"/>
        <v>82107.600000000006</v>
      </c>
      <c r="V18" s="1423">
        <f t="shared" si="4"/>
        <v>-3391.8569999999891</v>
      </c>
      <c r="W18" s="1434" t="s">
        <v>3628</v>
      </c>
      <c r="X18" s="1417"/>
      <c r="Y18" s="1424" t="e">
        <f>SUM(#REF!)</f>
        <v>#REF!</v>
      </c>
    </row>
    <row r="19" spans="1:27" s="1417" customFormat="1" ht="13.8">
      <c r="B19" s="1654" t="s">
        <v>539</v>
      </c>
      <c r="C19" s="1666" t="s">
        <v>2903</v>
      </c>
      <c r="D19" s="1667" t="s">
        <v>40</v>
      </c>
      <c r="E19" s="1668">
        <v>629.46</v>
      </c>
      <c r="F19" s="1669">
        <v>20.02</v>
      </c>
      <c r="G19" s="1755">
        <v>20.85</v>
      </c>
      <c r="H19" s="1670">
        <f t="shared" si="5"/>
        <v>12601.79</v>
      </c>
      <c r="I19" s="1670">
        <f t="shared" si="6"/>
        <v>13124.24</v>
      </c>
      <c r="J19" s="1671">
        <v>626.70129999999995</v>
      </c>
      <c r="K19" s="1672">
        <v>13066.722104999999</v>
      </c>
      <c r="L19" s="1895"/>
      <c r="M19" s="1673">
        <f t="shared" si="7"/>
        <v>0</v>
      </c>
      <c r="N19" s="1674">
        <f t="shared" si="2"/>
        <v>626.70129999999995</v>
      </c>
      <c r="O19" s="1675">
        <f t="shared" si="8"/>
        <v>13066.722104999999</v>
      </c>
      <c r="P19" s="1676">
        <f t="shared" si="9"/>
        <v>0.995617430418828</v>
      </c>
      <c r="Q19" s="1677">
        <f t="shared" si="10"/>
        <v>2.7587000000000899</v>
      </c>
      <c r="R19" s="1678">
        <f t="shared" si="11"/>
        <v>57.52</v>
      </c>
      <c r="S19" s="1679">
        <f t="shared" si="12"/>
        <v>4.3827299714116787E-3</v>
      </c>
      <c r="T19" s="1423">
        <f t="shared" si="3"/>
        <v>13124.242104999999</v>
      </c>
      <c r="U19" s="1423">
        <f t="shared" si="1"/>
        <v>12601.79</v>
      </c>
      <c r="V19" s="1423">
        <f t="shared" si="4"/>
        <v>-522.45210499999848</v>
      </c>
      <c r="W19" s="1434" t="s">
        <v>3629</v>
      </c>
      <c r="Y19" s="1424" t="e">
        <f>SUM(#REF!)</f>
        <v>#REF!</v>
      </c>
    </row>
    <row r="20" spans="1:27" s="1416" customFormat="1" ht="13.8">
      <c r="B20" s="1654" t="s">
        <v>540</v>
      </c>
      <c r="C20" s="1666" t="s">
        <v>2904</v>
      </c>
      <c r="D20" s="1667" t="s">
        <v>40</v>
      </c>
      <c r="E20" s="1668">
        <v>4844.05</v>
      </c>
      <c r="F20" s="1669">
        <v>17.52</v>
      </c>
      <c r="G20" s="1755">
        <v>18.239999999999998</v>
      </c>
      <c r="H20" s="1670">
        <f t="shared" si="5"/>
        <v>84867.76</v>
      </c>
      <c r="I20" s="1670">
        <f t="shared" si="6"/>
        <v>88355.47</v>
      </c>
      <c r="J20" s="1671">
        <v>4836.55296</v>
      </c>
      <c r="K20" s="1672">
        <v>88218.725990399995</v>
      </c>
      <c r="L20" s="1895"/>
      <c r="M20" s="1673">
        <f t="shared" si="7"/>
        <v>0</v>
      </c>
      <c r="N20" s="1674">
        <f t="shared" si="2"/>
        <v>4836.55296</v>
      </c>
      <c r="O20" s="1675">
        <f t="shared" si="8"/>
        <v>88218.725990399995</v>
      </c>
      <c r="P20" s="1676">
        <f t="shared" si="9"/>
        <v>0.99845234245712222</v>
      </c>
      <c r="Q20" s="1677">
        <f t="shared" si="10"/>
        <v>7.4970400000001973</v>
      </c>
      <c r="R20" s="1678">
        <f t="shared" si="11"/>
        <v>136.75</v>
      </c>
      <c r="S20" s="1679">
        <f t="shared" si="12"/>
        <v>1.5477253417360576E-3</v>
      </c>
      <c r="T20" s="1423">
        <f t="shared" si="3"/>
        <v>88355.475990399995</v>
      </c>
      <c r="U20" s="1423">
        <f t="shared" si="1"/>
        <v>84867.76</v>
      </c>
      <c r="V20" s="1423">
        <f t="shared" si="4"/>
        <v>-3487.7159904</v>
      </c>
      <c r="W20" s="1435"/>
    </row>
    <row r="21" spans="1:27" s="1417" customFormat="1" ht="13.8">
      <c r="A21" s="1429"/>
      <c r="B21" s="1654" t="s">
        <v>541</v>
      </c>
      <c r="C21" s="1666" t="s">
        <v>3744</v>
      </c>
      <c r="D21" s="1667" t="s">
        <v>40</v>
      </c>
      <c r="E21" s="1668">
        <v>4844.05</v>
      </c>
      <c r="F21" s="1669">
        <v>4</v>
      </c>
      <c r="G21" s="1755">
        <v>4.05</v>
      </c>
      <c r="H21" s="1670">
        <f t="shared" si="5"/>
        <v>19376.2</v>
      </c>
      <c r="I21" s="1670">
        <f t="shared" si="6"/>
        <v>19618.400000000001</v>
      </c>
      <c r="J21" s="1671">
        <v>4844.05</v>
      </c>
      <c r="K21" s="1672">
        <v>19618.4025</v>
      </c>
      <c r="L21" s="1895"/>
      <c r="M21" s="1673">
        <f t="shared" si="7"/>
        <v>0</v>
      </c>
      <c r="N21" s="1674">
        <f t="shared" si="2"/>
        <v>4844.05</v>
      </c>
      <c r="O21" s="1675">
        <f t="shared" si="8"/>
        <v>19618.4025</v>
      </c>
      <c r="P21" s="1676">
        <f t="shared" si="9"/>
        <v>1.0000001274313908</v>
      </c>
      <c r="Q21" s="1677">
        <f t="shared" si="10"/>
        <v>0</v>
      </c>
      <c r="R21" s="1678">
        <f t="shared" si="11"/>
        <v>0</v>
      </c>
      <c r="S21" s="1679">
        <f t="shared" si="12"/>
        <v>0</v>
      </c>
      <c r="T21" s="1423">
        <f t="shared" si="3"/>
        <v>19618.4025</v>
      </c>
      <c r="U21" s="1423">
        <f t="shared" si="1"/>
        <v>19376.2</v>
      </c>
      <c r="V21" s="1423">
        <f t="shared" si="4"/>
        <v>-242.20249999999942</v>
      </c>
      <c r="W21" s="1434"/>
      <c r="X21" s="1416" t="s">
        <v>2</v>
      </c>
      <c r="Y21" s="1422" t="e">
        <f>SUM(Y14:Y20)</f>
        <v>#REF!</v>
      </c>
      <c r="Z21" s="1423">
        <f>+M258</f>
        <v>87330.904018000001</v>
      </c>
      <c r="AA21" s="1423" t="e">
        <f>+Y21-Z21</f>
        <v>#REF!</v>
      </c>
    </row>
    <row r="22" spans="1:27" s="1417" customFormat="1" ht="13.8">
      <c r="B22" s="1654" t="s">
        <v>3745</v>
      </c>
      <c r="C22" s="1666" t="s">
        <v>2901</v>
      </c>
      <c r="D22" s="1667" t="s">
        <v>37</v>
      </c>
      <c r="E22" s="1668">
        <v>1231.8599999999999</v>
      </c>
      <c r="F22" s="1669">
        <v>7.01</v>
      </c>
      <c r="G22" s="1755">
        <v>7.27</v>
      </c>
      <c r="H22" s="1670">
        <f t="shared" si="5"/>
        <v>8635.34</v>
      </c>
      <c r="I22" s="1670">
        <f t="shared" si="6"/>
        <v>8955.6200000000008</v>
      </c>
      <c r="J22" s="1671">
        <v>1231.8599999999999</v>
      </c>
      <c r="K22" s="1672">
        <v>8955.622199999998</v>
      </c>
      <c r="L22" s="1895"/>
      <c r="M22" s="1673">
        <f t="shared" si="7"/>
        <v>0</v>
      </c>
      <c r="N22" s="1674">
        <f t="shared" si="2"/>
        <v>1231.8599999999999</v>
      </c>
      <c r="O22" s="1675">
        <f t="shared" si="8"/>
        <v>8955.622199999998</v>
      </c>
      <c r="P22" s="1676">
        <f t="shared" si="9"/>
        <v>1.0000002456558001</v>
      </c>
      <c r="Q22" s="1677">
        <f t="shared" si="10"/>
        <v>0</v>
      </c>
      <c r="R22" s="1678">
        <f t="shared" si="11"/>
        <v>0</v>
      </c>
      <c r="S22" s="1679">
        <f t="shared" si="12"/>
        <v>0</v>
      </c>
      <c r="T22" s="1423">
        <f t="shared" si="3"/>
        <v>8955.622199999998</v>
      </c>
      <c r="U22" s="1423">
        <f t="shared" si="1"/>
        <v>8635.34</v>
      </c>
      <c r="V22" s="1423">
        <f t="shared" si="4"/>
        <v>-320.28219999999783</v>
      </c>
      <c r="W22" s="1434"/>
    </row>
    <row r="23" spans="1:27" s="1417" customFormat="1" ht="13.8">
      <c r="A23" s="1429"/>
      <c r="B23" s="1752" t="s">
        <v>39</v>
      </c>
      <c r="C23" s="1746" t="s">
        <v>3746</v>
      </c>
      <c r="D23" s="1667"/>
      <c r="E23" s="1668"/>
      <c r="F23" s="1669"/>
      <c r="G23" s="1755"/>
      <c r="H23" s="1670"/>
      <c r="I23" s="1670"/>
      <c r="J23" s="1671"/>
      <c r="K23" s="1672"/>
      <c r="L23" s="1895"/>
      <c r="M23" s="1673"/>
      <c r="N23" s="1674"/>
      <c r="O23" s="1675"/>
      <c r="P23" s="1676"/>
      <c r="Q23" s="1677"/>
      <c r="R23" s="1678"/>
      <c r="S23" s="1679" t="str">
        <f t="shared" si="12"/>
        <v/>
      </c>
      <c r="T23" s="1423">
        <f t="shared" si="3"/>
        <v>0</v>
      </c>
      <c r="U23" s="1423">
        <f t="shared" si="1"/>
        <v>0</v>
      </c>
      <c r="V23" s="1423">
        <f t="shared" si="4"/>
        <v>0</v>
      </c>
      <c r="W23" s="1434"/>
    </row>
    <row r="24" spans="1:27" s="1417" customFormat="1" ht="13.8">
      <c r="A24" s="1429"/>
      <c r="B24" s="1752" t="s">
        <v>542</v>
      </c>
      <c r="C24" s="1746" t="s">
        <v>2907</v>
      </c>
      <c r="D24" s="1667"/>
      <c r="E24" s="1668"/>
      <c r="F24" s="1669"/>
      <c r="G24" s="1755"/>
      <c r="H24" s="1670"/>
      <c r="I24" s="1670"/>
      <c r="J24" s="1671"/>
      <c r="K24" s="1672"/>
      <c r="L24" s="1895"/>
      <c r="M24" s="1673"/>
      <c r="N24" s="1674"/>
      <c r="O24" s="1675"/>
      <c r="P24" s="1676"/>
      <c r="Q24" s="1677"/>
      <c r="R24" s="1678"/>
      <c r="S24" s="1679" t="str">
        <f t="shared" si="12"/>
        <v/>
      </c>
      <c r="T24" s="1423"/>
      <c r="U24" s="1423"/>
      <c r="V24" s="1423"/>
      <c r="W24" s="1434"/>
    </row>
    <row r="25" spans="1:27" s="1417" customFormat="1" ht="13.8">
      <c r="B25" s="1654" t="s">
        <v>3747</v>
      </c>
      <c r="C25" s="1666" t="s">
        <v>3748</v>
      </c>
      <c r="D25" s="1667" t="s">
        <v>37</v>
      </c>
      <c r="E25" s="1668">
        <v>996.35</v>
      </c>
      <c r="F25" s="1669">
        <v>34.24</v>
      </c>
      <c r="G25" s="1755">
        <v>34.96</v>
      </c>
      <c r="H25" s="1670">
        <f t="shared" si="5"/>
        <v>34115.019999999997</v>
      </c>
      <c r="I25" s="1670">
        <f t="shared" si="6"/>
        <v>34832.400000000001</v>
      </c>
      <c r="J25" s="1671">
        <v>559.6</v>
      </c>
      <c r="K25" s="1672">
        <v>19563.616000000002</v>
      </c>
      <c r="L25" s="1895"/>
      <c r="M25" s="1673">
        <f t="shared" si="7"/>
        <v>0</v>
      </c>
      <c r="N25" s="1674">
        <f t="shared" si="2"/>
        <v>559.6</v>
      </c>
      <c r="O25" s="1675">
        <f t="shared" si="8"/>
        <v>19563.616000000002</v>
      </c>
      <c r="P25" s="1676">
        <f t="shared" si="9"/>
        <v>0.5616499580850014</v>
      </c>
      <c r="Q25" s="1677">
        <f t="shared" si="10"/>
        <v>436.75</v>
      </c>
      <c r="R25" s="1678">
        <f t="shared" si="11"/>
        <v>15268.78</v>
      </c>
      <c r="S25" s="1679">
        <f t="shared" si="12"/>
        <v>0.43834992707938586</v>
      </c>
      <c r="T25" s="1423"/>
      <c r="U25" s="1423"/>
      <c r="V25" s="1423"/>
      <c r="W25" s="1434"/>
    </row>
    <row r="26" spans="1:27" s="1417" customFormat="1" ht="13.8">
      <c r="A26" s="1416"/>
      <c r="B26" s="1752" t="s">
        <v>543</v>
      </c>
      <c r="C26" s="1746" t="s">
        <v>2911</v>
      </c>
      <c r="D26" s="1667"/>
      <c r="E26" s="1668"/>
      <c r="F26" s="1669"/>
      <c r="G26" s="1755"/>
      <c r="H26" s="1670">
        <f t="shared" si="5"/>
        <v>0</v>
      </c>
      <c r="I26" s="1670">
        <f t="shared" si="6"/>
        <v>0</v>
      </c>
      <c r="J26" s="1671"/>
      <c r="K26" s="1671">
        <v>0</v>
      </c>
      <c r="L26" s="1895"/>
      <c r="M26" s="1673">
        <f t="shared" si="7"/>
        <v>0</v>
      </c>
      <c r="N26" s="1674"/>
      <c r="O26" s="1675">
        <f t="shared" si="8"/>
        <v>0</v>
      </c>
      <c r="P26" s="1676" t="str">
        <f t="shared" si="9"/>
        <v/>
      </c>
      <c r="Q26" s="1677"/>
      <c r="R26" s="1678">
        <f t="shared" si="11"/>
        <v>0</v>
      </c>
      <c r="S26" s="1679" t="str">
        <f t="shared" si="12"/>
        <v/>
      </c>
      <c r="T26" s="1423"/>
      <c r="U26" s="1423"/>
      <c r="V26" s="1423"/>
      <c r="W26" s="1434"/>
    </row>
    <row r="27" spans="1:27" s="1417" customFormat="1" ht="13.8">
      <c r="A27" s="1429"/>
      <c r="B27" s="1654" t="s">
        <v>3749</v>
      </c>
      <c r="C27" s="1666" t="s">
        <v>3750</v>
      </c>
      <c r="D27" s="1667" t="s">
        <v>40</v>
      </c>
      <c r="E27" s="1668">
        <v>29.61</v>
      </c>
      <c r="F27" s="1669">
        <v>240.43</v>
      </c>
      <c r="G27" s="1755">
        <v>244.09</v>
      </c>
      <c r="H27" s="1670">
        <f t="shared" si="5"/>
        <v>7119.13</v>
      </c>
      <c r="I27" s="1670">
        <f t="shared" si="6"/>
        <v>7227.5</v>
      </c>
      <c r="J27" s="1671">
        <v>29.61</v>
      </c>
      <c r="K27" s="1672">
        <v>7227.5048999999999</v>
      </c>
      <c r="L27" s="1895"/>
      <c r="M27" s="1673">
        <f t="shared" si="7"/>
        <v>0</v>
      </c>
      <c r="N27" s="1674">
        <f t="shared" si="2"/>
        <v>29.61</v>
      </c>
      <c r="O27" s="1675">
        <f t="shared" si="8"/>
        <v>7227.5048999999999</v>
      </c>
      <c r="P27" s="1676">
        <f t="shared" si="9"/>
        <v>1.0000006779661017</v>
      </c>
      <c r="Q27" s="1677">
        <f t="shared" si="10"/>
        <v>0</v>
      </c>
      <c r="R27" s="1678">
        <f t="shared" si="11"/>
        <v>0</v>
      </c>
      <c r="S27" s="1679">
        <f t="shared" si="12"/>
        <v>0</v>
      </c>
      <c r="T27" s="1423"/>
      <c r="U27" s="1423"/>
      <c r="V27" s="1423"/>
      <c r="W27" s="1434"/>
    </row>
    <row r="28" spans="1:27" s="1417" customFormat="1" ht="13.8">
      <c r="B28" s="1654" t="s">
        <v>3751</v>
      </c>
      <c r="C28" s="1666" t="s">
        <v>3752</v>
      </c>
      <c r="D28" s="1667" t="s">
        <v>37</v>
      </c>
      <c r="E28" s="1668">
        <v>131.97999999999999</v>
      </c>
      <c r="F28" s="1669">
        <v>87.35</v>
      </c>
      <c r="G28" s="1755">
        <v>89.51</v>
      </c>
      <c r="H28" s="1670">
        <f t="shared" si="5"/>
        <v>11528.45</v>
      </c>
      <c r="I28" s="1670">
        <f t="shared" si="6"/>
        <v>11813.53</v>
      </c>
      <c r="J28" s="1671">
        <v>131.97999999999999</v>
      </c>
      <c r="K28" s="1672">
        <v>11813.5298</v>
      </c>
      <c r="L28" s="1895"/>
      <c r="M28" s="1673">
        <f t="shared" si="7"/>
        <v>0</v>
      </c>
      <c r="N28" s="1674">
        <f t="shared" si="2"/>
        <v>131.97999999999999</v>
      </c>
      <c r="O28" s="1675">
        <f t="shared" si="8"/>
        <v>11813.5298</v>
      </c>
      <c r="P28" s="1676">
        <f t="shared" si="9"/>
        <v>0.99999998307025928</v>
      </c>
      <c r="Q28" s="1677">
        <f t="shared" si="10"/>
        <v>0</v>
      </c>
      <c r="R28" s="1678">
        <f t="shared" si="11"/>
        <v>0</v>
      </c>
      <c r="S28" s="1679">
        <f t="shared" si="12"/>
        <v>0</v>
      </c>
      <c r="T28" s="1423"/>
      <c r="U28" s="1423"/>
      <c r="V28" s="1423"/>
      <c r="W28" s="1434"/>
    </row>
    <row r="29" spans="1:27" s="1417" customFormat="1" ht="13.8">
      <c r="A29" s="1416"/>
      <c r="B29" s="1752" t="s">
        <v>544</v>
      </c>
      <c r="C29" s="1746" t="s">
        <v>2914</v>
      </c>
      <c r="D29" s="1667"/>
      <c r="E29" s="1668"/>
      <c r="F29" s="1669"/>
      <c r="G29" s="1755"/>
      <c r="H29" s="1670">
        <f t="shared" si="5"/>
        <v>0</v>
      </c>
      <c r="I29" s="1670"/>
      <c r="J29" s="1671"/>
      <c r="K29" s="1671"/>
      <c r="L29" s="1895"/>
      <c r="M29" s="1673"/>
      <c r="N29" s="1674"/>
      <c r="O29" s="1675"/>
      <c r="P29" s="1676" t="str">
        <f t="shared" si="9"/>
        <v/>
      </c>
      <c r="Q29" s="1677"/>
      <c r="R29" s="1678">
        <f t="shared" si="11"/>
        <v>0</v>
      </c>
      <c r="S29" s="1679" t="str">
        <f t="shared" si="12"/>
        <v/>
      </c>
      <c r="T29" s="1423"/>
      <c r="U29" s="1423"/>
      <c r="V29" s="1423"/>
      <c r="W29" s="1434"/>
    </row>
    <row r="30" spans="1:27" s="1417" customFormat="1" ht="13.8">
      <c r="A30" s="1429"/>
      <c r="B30" s="1654" t="s">
        <v>3753</v>
      </c>
      <c r="C30" s="1666" t="s">
        <v>2915</v>
      </c>
      <c r="D30" s="1667" t="s">
        <v>40</v>
      </c>
      <c r="E30" s="1668">
        <v>3.65</v>
      </c>
      <c r="F30" s="1669">
        <v>402.12</v>
      </c>
      <c r="G30" s="1755">
        <v>407.84</v>
      </c>
      <c r="H30" s="1670">
        <f t="shared" si="5"/>
        <v>1467.74</v>
      </c>
      <c r="I30" s="1670">
        <f t="shared" si="6"/>
        <v>1488.62</v>
      </c>
      <c r="J30" s="1671">
        <v>3.65</v>
      </c>
      <c r="K30" s="1672">
        <v>1488.616</v>
      </c>
      <c r="L30" s="1895"/>
      <c r="M30" s="1673">
        <f t="shared" si="7"/>
        <v>0</v>
      </c>
      <c r="N30" s="1674">
        <f t="shared" si="2"/>
        <v>3.65</v>
      </c>
      <c r="O30" s="1675">
        <f t="shared" si="8"/>
        <v>1488.616</v>
      </c>
      <c r="P30" s="1676">
        <f t="shared" si="9"/>
        <v>0.99999731294756222</v>
      </c>
      <c r="Q30" s="1677">
        <f t="shared" si="10"/>
        <v>0</v>
      </c>
      <c r="R30" s="1678">
        <f t="shared" si="11"/>
        <v>0</v>
      </c>
      <c r="S30" s="1679">
        <f t="shared" si="12"/>
        <v>0</v>
      </c>
      <c r="T30" s="1423"/>
      <c r="U30" s="1423"/>
      <c r="V30" s="1423"/>
      <c r="W30" s="1434"/>
    </row>
    <row r="31" spans="1:27" s="1417" customFormat="1" ht="13.8">
      <c r="B31" s="1654" t="s">
        <v>3754</v>
      </c>
      <c r="C31" s="1666" t="s">
        <v>2916</v>
      </c>
      <c r="D31" s="1667" t="s">
        <v>37</v>
      </c>
      <c r="E31" s="1668">
        <v>42.34</v>
      </c>
      <c r="F31" s="1669">
        <v>60.7</v>
      </c>
      <c r="G31" s="1755">
        <v>61.92</v>
      </c>
      <c r="H31" s="1670">
        <f t="shared" si="5"/>
        <v>2570.04</v>
      </c>
      <c r="I31" s="1670">
        <f t="shared" si="6"/>
        <v>2621.69</v>
      </c>
      <c r="J31" s="1671">
        <v>42.34</v>
      </c>
      <c r="K31" s="1672">
        <v>2621.6928000000003</v>
      </c>
      <c r="L31" s="1895"/>
      <c r="M31" s="1673">
        <f t="shared" si="7"/>
        <v>0</v>
      </c>
      <c r="N31" s="1674">
        <f t="shared" si="2"/>
        <v>42.34</v>
      </c>
      <c r="O31" s="1675">
        <f t="shared" si="8"/>
        <v>2621.6928000000003</v>
      </c>
      <c r="P31" s="1676">
        <f t="shared" si="9"/>
        <v>1.0000010680133808</v>
      </c>
      <c r="Q31" s="1677">
        <f t="shared" si="10"/>
        <v>0</v>
      </c>
      <c r="R31" s="1678">
        <f t="shared" si="11"/>
        <v>0</v>
      </c>
      <c r="S31" s="1679">
        <f t="shared" si="12"/>
        <v>0</v>
      </c>
      <c r="T31" s="1423"/>
      <c r="U31" s="1423"/>
      <c r="V31" s="1423"/>
      <c r="W31" s="1434"/>
    </row>
    <row r="32" spans="1:27" s="1417" customFormat="1" ht="13.8">
      <c r="A32" s="1429"/>
      <c r="B32" s="1752" t="s">
        <v>545</v>
      </c>
      <c r="C32" s="1746" t="s">
        <v>2935</v>
      </c>
      <c r="D32" s="1667"/>
      <c r="E32" s="1668"/>
      <c r="F32" s="1669"/>
      <c r="G32" s="1755"/>
      <c r="H32" s="1670">
        <f t="shared" si="5"/>
        <v>0</v>
      </c>
      <c r="I32" s="1670">
        <f t="shared" si="6"/>
        <v>0</v>
      </c>
      <c r="J32" s="1671"/>
      <c r="K32" s="1671">
        <v>0</v>
      </c>
      <c r="L32" s="1895"/>
      <c r="M32" s="1673">
        <f t="shared" si="7"/>
        <v>0</v>
      </c>
      <c r="N32" s="1674"/>
      <c r="O32" s="1675">
        <f t="shared" si="8"/>
        <v>0</v>
      </c>
      <c r="P32" s="1676" t="str">
        <f t="shared" si="9"/>
        <v/>
      </c>
      <c r="Q32" s="1677"/>
      <c r="R32" s="1678">
        <f t="shared" si="11"/>
        <v>0</v>
      </c>
      <c r="S32" s="1679" t="str">
        <f t="shared" si="12"/>
        <v/>
      </c>
      <c r="T32" s="1423"/>
      <c r="U32" s="1423"/>
      <c r="V32" s="1423"/>
      <c r="W32" s="1434"/>
    </row>
    <row r="33" spans="1:23" s="1417" customFormat="1" ht="13.8">
      <c r="A33" s="1429"/>
      <c r="B33" s="1752" t="s">
        <v>546</v>
      </c>
      <c r="C33" s="1746" t="s">
        <v>2936</v>
      </c>
      <c r="D33" s="1667"/>
      <c r="E33" s="1668"/>
      <c r="F33" s="1669"/>
      <c r="G33" s="1755"/>
      <c r="H33" s="1670">
        <f t="shared" si="5"/>
        <v>0</v>
      </c>
      <c r="I33" s="1670">
        <f t="shared" si="6"/>
        <v>0</v>
      </c>
      <c r="J33" s="1671"/>
      <c r="K33" s="1672">
        <v>0</v>
      </c>
      <c r="L33" s="1895"/>
      <c r="M33" s="1673">
        <f t="shared" si="7"/>
        <v>0</v>
      </c>
      <c r="N33" s="1674"/>
      <c r="O33" s="1675">
        <f t="shared" si="8"/>
        <v>0</v>
      </c>
      <c r="P33" s="1676" t="str">
        <f t="shared" si="9"/>
        <v/>
      </c>
      <c r="Q33" s="1677"/>
      <c r="R33" s="1678">
        <f t="shared" si="11"/>
        <v>0</v>
      </c>
      <c r="S33" s="1679" t="str">
        <f t="shared" si="12"/>
        <v/>
      </c>
      <c r="T33" s="1423"/>
      <c r="U33" s="1423"/>
      <c r="V33" s="1423"/>
      <c r="W33" s="1434"/>
    </row>
    <row r="34" spans="1:23" s="1417" customFormat="1" ht="13.8">
      <c r="B34" s="1654" t="s">
        <v>3755</v>
      </c>
      <c r="C34" s="1666" t="s">
        <v>2937</v>
      </c>
      <c r="D34" s="1667" t="s">
        <v>40</v>
      </c>
      <c r="E34" s="1668">
        <v>624.74</v>
      </c>
      <c r="F34" s="1669">
        <v>435.75</v>
      </c>
      <c r="G34" s="1755">
        <v>436.26</v>
      </c>
      <c r="H34" s="1670">
        <f t="shared" si="5"/>
        <v>272230.46000000002</v>
      </c>
      <c r="I34" s="1670">
        <f t="shared" si="6"/>
        <v>272549.07</v>
      </c>
      <c r="J34" s="1671">
        <v>386.46804999999995</v>
      </c>
      <c r="K34" s="1672">
        <v>168600.55149299998</v>
      </c>
      <c r="L34" s="1895">
        <f>+'[42]S. MOYORES METRADOS'!$J$178</f>
        <v>26.706000000000003</v>
      </c>
      <c r="M34" s="1673">
        <f t="shared" si="7"/>
        <v>11650.75956</v>
      </c>
      <c r="N34" s="1674">
        <f t="shared" si="2"/>
        <v>413.17404999999997</v>
      </c>
      <c r="O34" s="1675">
        <f t="shared" si="8"/>
        <v>180251.31105299998</v>
      </c>
      <c r="P34" s="1676">
        <f t="shared" si="9"/>
        <v>0.66135360892260608</v>
      </c>
      <c r="Q34" s="1677">
        <f t="shared" si="10"/>
        <v>211.56595000000004</v>
      </c>
      <c r="R34" s="1678">
        <f t="shared" si="11"/>
        <v>92297.76</v>
      </c>
      <c r="S34" s="1679">
        <f t="shared" si="12"/>
        <v>0.3386463949409183</v>
      </c>
      <c r="T34" s="1423"/>
      <c r="U34" s="1423"/>
      <c r="V34" s="1423"/>
      <c r="W34" s="1434"/>
    </row>
    <row r="35" spans="1:23" s="1417" customFormat="1" ht="13.8">
      <c r="A35" s="1416"/>
      <c r="B35" s="1654" t="s">
        <v>3756</v>
      </c>
      <c r="C35" s="1666" t="s">
        <v>2938</v>
      </c>
      <c r="D35" s="1667" t="s">
        <v>48</v>
      </c>
      <c r="E35" s="1668">
        <v>24297.87</v>
      </c>
      <c r="F35" s="1669">
        <v>5.05</v>
      </c>
      <c r="G35" s="1755">
        <v>5.1100000000000003</v>
      </c>
      <c r="H35" s="1670">
        <f t="shared" si="5"/>
        <v>122704.24</v>
      </c>
      <c r="I35" s="1670">
        <f t="shared" si="6"/>
        <v>124162.12</v>
      </c>
      <c r="J35" s="1671">
        <v>16062.650000000001</v>
      </c>
      <c r="K35" s="1672">
        <v>82080.141500000012</v>
      </c>
      <c r="L35" s="1895">
        <f>+'[42]S. MOYORES METRADOS'!$J$224</f>
        <v>1732.64</v>
      </c>
      <c r="M35" s="1673">
        <f t="shared" si="7"/>
        <v>8853.7904000000017</v>
      </c>
      <c r="N35" s="1674">
        <f t="shared" si="2"/>
        <v>17795.29</v>
      </c>
      <c r="O35" s="1675">
        <f t="shared" si="8"/>
        <v>90933.931900000011</v>
      </c>
      <c r="P35" s="1676">
        <f t="shared" si="9"/>
        <v>0.73238063187065439</v>
      </c>
      <c r="Q35" s="1677">
        <f t="shared" si="10"/>
        <v>6502.5799999999981</v>
      </c>
      <c r="R35" s="1678">
        <f t="shared" si="11"/>
        <v>33228.18</v>
      </c>
      <c r="S35" s="1679">
        <f t="shared" si="12"/>
        <v>0.2676193028920576</v>
      </c>
      <c r="T35" s="1423"/>
      <c r="U35" s="1423"/>
      <c r="V35" s="1423"/>
      <c r="W35" s="1434"/>
    </row>
    <row r="36" spans="1:23" s="1417" customFormat="1" ht="13.8">
      <c r="A36" s="1429"/>
      <c r="B36" s="1752" t="s">
        <v>547</v>
      </c>
      <c r="C36" s="1746" t="s">
        <v>2939</v>
      </c>
      <c r="D36" s="1667"/>
      <c r="E36" s="1668"/>
      <c r="F36" s="1669"/>
      <c r="G36" s="1755"/>
      <c r="H36" s="1670">
        <f t="shared" si="5"/>
        <v>0</v>
      </c>
      <c r="I36" s="1670"/>
      <c r="J36" s="1671"/>
      <c r="K36" s="1671"/>
      <c r="L36" s="1895"/>
      <c r="M36" s="1673"/>
      <c r="N36" s="1674"/>
      <c r="O36" s="1675"/>
      <c r="P36" s="1676"/>
      <c r="Q36" s="1677"/>
      <c r="R36" s="1678">
        <f t="shared" si="11"/>
        <v>0</v>
      </c>
      <c r="S36" s="1679" t="str">
        <f t="shared" si="12"/>
        <v/>
      </c>
      <c r="T36" s="1423"/>
      <c r="U36" s="1423"/>
      <c r="V36" s="1423"/>
      <c r="W36" s="1434"/>
    </row>
    <row r="37" spans="1:23" s="1417" customFormat="1" ht="13.8">
      <c r="B37" s="1654" t="s">
        <v>3757</v>
      </c>
      <c r="C37" s="1666" t="s">
        <v>3758</v>
      </c>
      <c r="D37" s="1667" t="s">
        <v>40</v>
      </c>
      <c r="E37" s="1668">
        <v>21.03</v>
      </c>
      <c r="F37" s="1669">
        <v>438.44</v>
      </c>
      <c r="G37" s="1755">
        <v>439.07</v>
      </c>
      <c r="H37" s="1670">
        <f t="shared" si="5"/>
        <v>9220.39</v>
      </c>
      <c r="I37" s="1670">
        <f t="shared" si="6"/>
        <v>9233.64</v>
      </c>
      <c r="J37" s="1671">
        <v>0</v>
      </c>
      <c r="K37" s="1672">
        <v>0</v>
      </c>
      <c r="L37" s="1895"/>
      <c r="M37" s="1673">
        <f t="shared" si="7"/>
        <v>0</v>
      </c>
      <c r="N37" s="1674">
        <f t="shared" si="2"/>
        <v>0</v>
      </c>
      <c r="O37" s="1675">
        <f t="shared" si="8"/>
        <v>0</v>
      </c>
      <c r="P37" s="1676">
        <f t="shared" si="9"/>
        <v>0</v>
      </c>
      <c r="Q37" s="1677">
        <f t="shared" si="10"/>
        <v>21.03</v>
      </c>
      <c r="R37" s="1678">
        <f t="shared" si="11"/>
        <v>9233.64</v>
      </c>
      <c r="S37" s="1679">
        <f t="shared" si="12"/>
        <v>1</v>
      </c>
      <c r="T37" s="1423"/>
      <c r="U37" s="1423"/>
      <c r="V37" s="1423"/>
      <c r="W37" s="1434"/>
    </row>
    <row r="38" spans="1:23" s="1417" customFormat="1" ht="13.8">
      <c r="A38" s="1416"/>
      <c r="B38" s="1654" t="s">
        <v>3759</v>
      </c>
      <c r="C38" s="1666" t="s">
        <v>2941</v>
      </c>
      <c r="D38" s="1667" t="s">
        <v>37</v>
      </c>
      <c r="E38" s="1668">
        <v>134.18</v>
      </c>
      <c r="F38" s="1669">
        <v>76.81</v>
      </c>
      <c r="G38" s="1755">
        <v>78.53</v>
      </c>
      <c r="H38" s="1670">
        <f t="shared" si="5"/>
        <v>10306.370000000001</v>
      </c>
      <c r="I38" s="1670">
        <f t="shared" si="6"/>
        <v>10537.16</v>
      </c>
      <c r="J38" s="1671">
        <v>0</v>
      </c>
      <c r="K38" s="1672">
        <v>0</v>
      </c>
      <c r="L38" s="1895"/>
      <c r="M38" s="1673">
        <f t="shared" si="7"/>
        <v>0</v>
      </c>
      <c r="N38" s="1674">
        <f t="shared" si="2"/>
        <v>0</v>
      </c>
      <c r="O38" s="1675">
        <f t="shared" si="8"/>
        <v>0</v>
      </c>
      <c r="P38" s="1676">
        <f t="shared" si="9"/>
        <v>0</v>
      </c>
      <c r="Q38" s="1677">
        <f t="shared" si="10"/>
        <v>134.18</v>
      </c>
      <c r="R38" s="1678">
        <f t="shared" si="11"/>
        <v>10537.16</v>
      </c>
      <c r="S38" s="1679">
        <f t="shared" si="12"/>
        <v>1</v>
      </c>
      <c r="T38" s="1423"/>
      <c r="U38" s="1423"/>
      <c r="V38" s="1423"/>
      <c r="W38" s="1434"/>
    </row>
    <row r="39" spans="1:23" s="1417" customFormat="1" ht="13.8">
      <c r="A39" s="1429"/>
      <c r="B39" s="1654" t="s">
        <v>3760</v>
      </c>
      <c r="C39" s="1666" t="s">
        <v>2942</v>
      </c>
      <c r="D39" s="1667" t="s">
        <v>48</v>
      </c>
      <c r="E39" s="1668">
        <v>3117.62</v>
      </c>
      <c r="F39" s="1669">
        <v>5.05</v>
      </c>
      <c r="G39" s="1755">
        <v>5.1100000000000003</v>
      </c>
      <c r="H39" s="1670">
        <f t="shared" si="5"/>
        <v>15743.98</v>
      </c>
      <c r="I39" s="1670">
        <f t="shared" si="6"/>
        <v>15931.04</v>
      </c>
      <c r="J39" s="1671">
        <v>0</v>
      </c>
      <c r="K39" s="1672">
        <v>0</v>
      </c>
      <c r="L39" s="1895"/>
      <c r="M39" s="1673">
        <f t="shared" si="7"/>
        <v>0</v>
      </c>
      <c r="N39" s="1674">
        <f t="shared" si="2"/>
        <v>0</v>
      </c>
      <c r="O39" s="1675">
        <f t="shared" si="8"/>
        <v>0</v>
      </c>
      <c r="P39" s="1676">
        <f t="shared" si="9"/>
        <v>0</v>
      </c>
      <c r="Q39" s="1677">
        <f t="shared" si="10"/>
        <v>3117.62</v>
      </c>
      <c r="R39" s="1678">
        <f t="shared" si="11"/>
        <v>15931.04</v>
      </c>
      <c r="S39" s="1679">
        <f t="shared" si="12"/>
        <v>1</v>
      </c>
      <c r="T39" s="1423"/>
      <c r="U39" s="1423"/>
      <c r="V39" s="1423"/>
      <c r="W39" s="1434"/>
    </row>
    <row r="40" spans="1:23" s="1417" customFormat="1" ht="13.8">
      <c r="B40" s="1752" t="s">
        <v>2250</v>
      </c>
      <c r="C40" s="1746" t="s">
        <v>2947</v>
      </c>
      <c r="D40" s="1667"/>
      <c r="E40" s="1668"/>
      <c r="F40" s="1669"/>
      <c r="G40" s="1755"/>
      <c r="H40" s="1670"/>
      <c r="I40" s="1670"/>
      <c r="J40" s="1671"/>
      <c r="K40" s="1671">
        <v>0</v>
      </c>
      <c r="L40" s="1895"/>
      <c r="M40" s="1673">
        <f t="shared" si="7"/>
        <v>0</v>
      </c>
      <c r="N40" s="1674"/>
      <c r="O40" s="1675">
        <f t="shared" si="8"/>
        <v>0</v>
      </c>
      <c r="P40" s="1676" t="str">
        <f t="shared" si="9"/>
        <v/>
      </c>
      <c r="Q40" s="1677"/>
      <c r="R40" s="1678">
        <f t="shared" si="11"/>
        <v>0</v>
      </c>
      <c r="S40" s="1679" t="str">
        <f t="shared" si="12"/>
        <v/>
      </c>
      <c r="T40" s="1423"/>
      <c r="U40" s="1423"/>
      <c r="V40" s="1423"/>
      <c r="W40" s="1434"/>
    </row>
    <row r="41" spans="1:23" s="1417" customFormat="1" ht="13.8">
      <c r="A41" s="1429"/>
      <c r="B41" s="1654" t="s">
        <v>3761</v>
      </c>
      <c r="C41" s="1666" t="s">
        <v>3762</v>
      </c>
      <c r="D41" s="1667" t="s">
        <v>40</v>
      </c>
      <c r="E41" s="1668">
        <v>652.25</v>
      </c>
      <c r="F41" s="1669">
        <v>454.54</v>
      </c>
      <c r="G41" s="1755">
        <v>455.76</v>
      </c>
      <c r="H41" s="1670">
        <f t="shared" si="5"/>
        <v>296473.71999999997</v>
      </c>
      <c r="I41" s="1670">
        <f t="shared" si="6"/>
        <v>297269.46000000002</v>
      </c>
      <c r="J41" s="1671">
        <v>652.25</v>
      </c>
      <c r="K41" s="1672">
        <v>297269.46000000002</v>
      </c>
      <c r="L41" s="1895"/>
      <c r="M41" s="1673">
        <f t="shared" si="7"/>
        <v>0</v>
      </c>
      <c r="N41" s="1674">
        <f t="shared" si="2"/>
        <v>652.25</v>
      </c>
      <c r="O41" s="1675">
        <f t="shared" si="8"/>
        <v>297269.46000000002</v>
      </c>
      <c r="P41" s="1676">
        <f t="shared" si="9"/>
        <v>1</v>
      </c>
      <c r="Q41" s="1677">
        <f t="shared" si="10"/>
        <v>0</v>
      </c>
      <c r="R41" s="1678">
        <f t="shared" si="11"/>
        <v>0</v>
      </c>
      <c r="S41" s="1679">
        <f t="shared" si="12"/>
        <v>0</v>
      </c>
      <c r="T41" s="1423"/>
      <c r="U41" s="1423"/>
      <c r="V41" s="1423"/>
      <c r="W41" s="1434"/>
    </row>
    <row r="42" spans="1:23" s="1417" customFormat="1" ht="13.8">
      <c r="A42" s="1429"/>
      <c r="B42" s="1654" t="s">
        <v>3763</v>
      </c>
      <c r="C42" s="1666" t="s">
        <v>2949</v>
      </c>
      <c r="D42" s="1667" t="s">
        <v>37</v>
      </c>
      <c r="E42" s="1668">
        <v>2797.5</v>
      </c>
      <c r="F42" s="1669">
        <v>61.44</v>
      </c>
      <c r="G42" s="1755">
        <v>62.87</v>
      </c>
      <c r="H42" s="1670">
        <f t="shared" si="5"/>
        <v>171878.39999999999</v>
      </c>
      <c r="I42" s="1670">
        <f t="shared" si="6"/>
        <v>175878.83</v>
      </c>
      <c r="J42" s="1671">
        <v>2199.5140000000001</v>
      </c>
      <c r="K42" s="1672">
        <v>138283.44518000001</v>
      </c>
      <c r="L42" s="1895">
        <f>+'[42]S. MOYORES METRADOS'!$J$265</f>
        <v>297.82900000000001</v>
      </c>
      <c r="M42" s="1673">
        <f t="shared" si="7"/>
        <v>18724.50923</v>
      </c>
      <c r="N42" s="1674">
        <f t="shared" si="2"/>
        <v>2497.3430000000003</v>
      </c>
      <c r="O42" s="1675">
        <f t="shared" si="8"/>
        <v>157007.95441000001</v>
      </c>
      <c r="P42" s="1676">
        <f t="shared" si="9"/>
        <v>0.89270524718637267</v>
      </c>
      <c r="Q42" s="1677">
        <f t="shared" si="10"/>
        <v>300.1569999999997</v>
      </c>
      <c r="R42" s="1678">
        <f t="shared" si="11"/>
        <v>18870.87</v>
      </c>
      <c r="S42" s="1679">
        <f t="shared" si="12"/>
        <v>0.10729472103038211</v>
      </c>
      <c r="T42" s="1423"/>
      <c r="U42" s="1423"/>
      <c r="V42" s="1423"/>
      <c r="W42" s="1434"/>
    </row>
    <row r="43" spans="1:23" s="1417" customFormat="1" ht="13.8">
      <c r="B43" s="1654" t="s">
        <v>3764</v>
      </c>
      <c r="C43" s="1666" t="s">
        <v>2950</v>
      </c>
      <c r="D43" s="1667" t="s">
        <v>48</v>
      </c>
      <c r="E43" s="1668">
        <v>32792.129999999997</v>
      </c>
      <c r="F43" s="1669">
        <v>5.05</v>
      </c>
      <c r="G43" s="1755">
        <v>5.1100000000000003</v>
      </c>
      <c r="H43" s="1670">
        <f t="shared" si="5"/>
        <v>165600.26</v>
      </c>
      <c r="I43" s="1670">
        <f t="shared" si="6"/>
        <v>167567.78</v>
      </c>
      <c r="J43" s="1671">
        <v>32792.129999999997</v>
      </c>
      <c r="K43" s="1672">
        <v>167567.7843</v>
      </c>
      <c r="L43" s="1895"/>
      <c r="M43" s="1673">
        <f t="shared" si="7"/>
        <v>0</v>
      </c>
      <c r="N43" s="1674">
        <f t="shared" si="2"/>
        <v>32792.129999999997</v>
      </c>
      <c r="O43" s="1675">
        <f t="shared" si="8"/>
        <v>167567.7843</v>
      </c>
      <c r="P43" s="1676">
        <f t="shared" si="9"/>
        <v>1.0000000256612578</v>
      </c>
      <c r="Q43" s="1677">
        <f t="shared" si="10"/>
        <v>0</v>
      </c>
      <c r="R43" s="1678">
        <f t="shared" si="11"/>
        <v>0</v>
      </c>
      <c r="S43" s="1679">
        <f t="shared" si="12"/>
        <v>0</v>
      </c>
      <c r="T43" s="1423"/>
      <c r="U43" s="1423"/>
      <c r="V43" s="1423"/>
      <c r="W43" s="1434"/>
    </row>
    <row r="44" spans="1:23" s="1417" customFormat="1" ht="13.8">
      <c r="A44" s="1416"/>
      <c r="B44" s="1752" t="s">
        <v>2251</v>
      </c>
      <c r="C44" s="1746" t="s">
        <v>2952</v>
      </c>
      <c r="D44" s="1667"/>
      <c r="E44" s="1668"/>
      <c r="F44" s="1669"/>
      <c r="G44" s="1755"/>
      <c r="H44" s="1670">
        <f t="shared" si="5"/>
        <v>0</v>
      </c>
      <c r="I44" s="1670"/>
      <c r="J44" s="1671"/>
      <c r="K44" s="1671"/>
      <c r="L44" s="1895"/>
      <c r="M44" s="1673"/>
      <c r="N44" s="1674"/>
      <c r="O44" s="1675"/>
      <c r="P44" s="1676"/>
      <c r="Q44" s="1677"/>
      <c r="R44" s="1678"/>
      <c r="S44" s="1679"/>
      <c r="T44" s="1423"/>
      <c r="U44" s="1423"/>
      <c r="V44" s="1423"/>
      <c r="W44" s="1434"/>
    </row>
    <row r="45" spans="1:23" s="1417" customFormat="1" ht="13.8">
      <c r="A45" s="1429"/>
      <c r="B45" s="1654" t="s">
        <v>3765</v>
      </c>
      <c r="C45" s="1666" t="s">
        <v>2953</v>
      </c>
      <c r="D45" s="1667" t="s">
        <v>40</v>
      </c>
      <c r="E45" s="1668">
        <v>52.5</v>
      </c>
      <c r="F45" s="1669">
        <v>449.17</v>
      </c>
      <c r="G45" s="1755">
        <v>450.19</v>
      </c>
      <c r="H45" s="1670">
        <f t="shared" si="5"/>
        <v>23581.43</v>
      </c>
      <c r="I45" s="1670">
        <f t="shared" si="6"/>
        <v>23634.98</v>
      </c>
      <c r="J45" s="1671">
        <v>52.5</v>
      </c>
      <c r="K45" s="1671">
        <v>23634.974999999999</v>
      </c>
      <c r="L45" s="1895"/>
      <c r="M45" s="1673">
        <f t="shared" si="7"/>
        <v>0</v>
      </c>
      <c r="N45" s="1674">
        <f t="shared" si="2"/>
        <v>52.5</v>
      </c>
      <c r="O45" s="1675">
        <f t="shared" si="8"/>
        <v>23634.974999999999</v>
      </c>
      <c r="P45" s="1676">
        <f t="shared" si="9"/>
        <v>0.9999997884491546</v>
      </c>
      <c r="Q45" s="1677">
        <f t="shared" si="10"/>
        <v>0</v>
      </c>
      <c r="R45" s="1678">
        <f t="shared" si="11"/>
        <v>0</v>
      </c>
      <c r="S45" s="1679">
        <f t="shared" si="12"/>
        <v>0</v>
      </c>
      <c r="T45" s="1423"/>
      <c r="U45" s="1423"/>
      <c r="V45" s="1423"/>
      <c r="W45" s="1434"/>
    </row>
    <row r="46" spans="1:23" s="1417" customFormat="1" ht="13.8">
      <c r="B46" s="1654" t="s">
        <v>3766</v>
      </c>
      <c r="C46" s="1666" t="s">
        <v>2954</v>
      </c>
      <c r="D46" s="1667" t="s">
        <v>37</v>
      </c>
      <c r="E46" s="1668">
        <v>508.62</v>
      </c>
      <c r="F46" s="1669">
        <v>67.959999999999994</v>
      </c>
      <c r="G46" s="1755">
        <v>69.680000000000007</v>
      </c>
      <c r="H46" s="1670">
        <f t="shared" si="5"/>
        <v>34565.82</v>
      </c>
      <c r="I46" s="1670">
        <f t="shared" si="6"/>
        <v>35440.639999999999</v>
      </c>
      <c r="J46" s="1671">
        <v>175.54</v>
      </c>
      <c r="K46" s="1671">
        <v>12231.627200000001</v>
      </c>
      <c r="L46" s="1895"/>
      <c r="M46" s="1673">
        <f t="shared" si="7"/>
        <v>0</v>
      </c>
      <c r="N46" s="1674">
        <f t="shared" si="2"/>
        <v>175.54</v>
      </c>
      <c r="O46" s="1675">
        <f t="shared" si="8"/>
        <v>12231.627200000001</v>
      </c>
      <c r="P46" s="1676">
        <f t="shared" si="9"/>
        <v>0.34512997507945681</v>
      </c>
      <c r="Q46" s="1677">
        <f t="shared" si="10"/>
        <v>333.08000000000004</v>
      </c>
      <c r="R46" s="1678">
        <f t="shared" si="11"/>
        <v>23209.01</v>
      </c>
      <c r="S46" s="1679">
        <f t="shared" si="12"/>
        <v>0.65486994591519787</v>
      </c>
      <c r="T46" s="1423"/>
      <c r="U46" s="1423"/>
      <c r="V46" s="1423"/>
      <c r="W46" s="1434"/>
    </row>
    <row r="47" spans="1:23" s="1417" customFormat="1" ht="13.8">
      <c r="A47" s="1416"/>
      <c r="B47" s="1654" t="s">
        <v>3767</v>
      </c>
      <c r="C47" s="1666" t="s">
        <v>2955</v>
      </c>
      <c r="D47" s="1667" t="s">
        <v>48</v>
      </c>
      <c r="E47" s="1668">
        <v>12836.96</v>
      </c>
      <c r="F47" s="1669">
        <v>5.05</v>
      </c>
      <c r="G47" s="1755">
        <v>5.1100000000000003</v>
      </c>
      <c r="H47" s="1670">
        <f t="shared" si="5"/>
        <v>64826.65</v>
      </c>
      <c r="I47" s="1670">
        <f t="shared" si="6"/>
        <v>65596.87</v>
      </c>
      <c r="J47" s="1671">
        <v>12836.96</v>
      </c>
      <c r="K47" s="1671">
        <v>65596.865600000005</v>
      </c>
      <c r="L47" s="1895"/>
      <c r="M47" s="1673">
        <f t="shared" si="7"/>
        <v>0</v>
      </c>
      <c r="N47" s="1674">
        <f t="shared" si="2"/>
        <v>12836.96</v>
      </c>
      <c r="O47" s="1675">
        <f t="shared" si="8"/>
        <v>65596.865600000005</v>
      </c>
      <c r="P47" s="1676">
        <f t="shared" si="9"/>
        <v>0.99999993292362899</v>
      </c>
      <c r="Q47" s="1677">
        <f t="shared" si="10"/>
        <v>0</v>
      </c>
      <c r="R47" s="1678">
        <f t="shared" si="11"/>
        <v>0</v>
      </c>
      <c r="S47" s="1679">
        <f t="shared" si="12"/>
        <v>0</v>
      </c>
      <c r="T47" s="1423"/>
      <c r="U47" s="1423"/>
      <c r="V47" s="1423"/>
      <c r="W47" s="1434"/>
    </row>
    <row r="48" spans="1:23" s="1417" customFormat="1" ht="13.8">
      <c r="A48" s="1429"/>
      <c r="B48" s="1752" t="s">
        <v>3768</v>
      </c>
      <c r="C48" s="1746" t="s">
        <v>2960</v>
      </c>
      <c r="D48" s="1667"/>
      <c r="E48" s="1668"/>
      <c r="F48" s="1669"/>
      <c r="G48" s="1755"/>
      <c r="H48" s="1670"/>
      <c r="I48" s="1670"/>
      <c r="J48" s="1671"/>
      <c r="K48" s="1671"/>
      <c r="L48" s="1895"/>
      <c r="M48" s="1673"/>
      <c r="N48" s="1674"/>
      <c r="O48" s="1675"/>
      <c r="P48" s="1676"/>
      <c r="Q48" s="1677"/>
      <c r="R48" s="1678"/>
      <c r="S48" s="1679" t="str">
        <f t="shared" si="12"/>
        <v/>
      </c>
      <c r="T48" s="1423"/>
      <c r="U48" s="1423"/>
      <c r="V48" s="1423"/>
      <c r="W48" s="1434"/>
    </row>
    <row r="49" spans="1:23" s="1417" customFormat="1" ht="13.8">
      <c r="B49" s="1654" t="s">
        <v>3769</v>
      </c>
      <c r="C49" s="1666" t="s">
        <v>3770</v>
      </c>
      <c r="D49" s="1667" t="s">
        <v>40</v>
      </c>
      <c r="E49" s="1668">
        <v>91.49</v>
      </c>
      <c r="F49" s="1669">
        <v>449.17</v>
      </c>
      <c r="G49" s="1755">
        <v>450.19</v>
      </c>
      <c r="H49" s="1670">
        <f t="shared" si="5"/>
        <v>41094.559999999998</v>
      </c>
      <c r="I49" s="1670">
        <f t="shared" si="6"/>
        <v>41187.879999999997</v>
      </c>
      <c r="J49" s="1671">
        <v>91.49</v>
      </c>
      <c r="K49" s="1671">
        <v>41187.883099999999</v>
      </c>
      <c r="L49" s="1895"/>
      <c r="M49" s="1673">
        <f t="shared" si="7"/>
        <v>0</v>
      </c>
      <c r="N49" s="1674">
        <f t="shared" si="2"/>
        <v>91.49</v>
      </c>
      <c r="O49" s="1675">
        <f t="shared" si="8"/>
        <v>41187.883099999999</v>
      </c>
      <c r="P49" s="1676">
        <f t="shared" si="9"/>
        <v>1.0000000752648595</v>
      </c>
      <c r="Q49" s="1677">
        <f t="shared" si="10"/>
        <v>0</v>
      </c>
      <c r="R49" s="1678">
        <f t="shared" si="11"/>
        <v>0</v>
      </c>
      <c r="S49" s="1679">
        <f t="shared" si="12"/>
        <v>0</v>
      </c>
      <c r="T49" s="1423"/>
      <c r="U49" s="1423"/>
      <c r="V49" s="1423"/>
      <c r="W49" s="1434"/>
    </row>
    <row r="50" spans="1:23" s="1417" customFormat="1" ht="13.8">
      <c r="A50" s="1429"/>
      <c r="B50" s="1654" t="s">
        <v>3771</v>
      </c>
      <c r="C50" s="1666" t="s">
        <v>2962</v>
      </c>
      <c r="D50" s="1667" t="s">
        <v>37</v>
      </c>
      <c r="E50" s="1668">
        <v>1092.19</v>
      </c>
      <c r="F50" s="1669">
        <v>75.03</v>
      </c>
      <c r="G50" s="1755">
        <v>76.75</v>
      </c>
      <c r="H50" s="1670">
        <f t="shared" si="5"/>
        <v>81947.02</v>
      </c>
      <c r="I50" s="1670">
        <f t="shared" si="6"/>
        <v>83825.58</v>
      </c>
      <c r="J50" s="1671">
        <v>1092.19</v>
      </c>
      <c r="K50" s="1671">
        <v>83825.582500000004</v>
      </c>
      <c r="L50" s="1895"/>
      <c r="M50" s="1673">
        <f t="shared" si="7"/>
        <v>0</v>
      </c>
      <c r="N50" s="1674">
        <f t="shared" si="2"/>
        <v>1092.19</v>
      </c>
      <c r="O50" s="1675">
        <f t="shared" si="8"/>
        <v>83825.582500000004</v>
      </c>
      <c r="P50" s="1676">
        <f t="shared" si="9"/>
        <v>1.0000000298238318</v>
      </c>
      <c r="Q50" s="1677">
        <f t="shared" si="10"/>
        <v>0</v>
      </c>
      <c r="R50" s="1678">
        <f t="shared" si="11"/>
        <v>0</v>
      </c>
      <c r="S50" s="1679">
        <f t="shared" si="12"/>
        <v>0</v>
      </c>
      <c r="T50" s="1423"/>
      <c r="U50" s="1423"/>
      <c r="V50" s="1423"/>
      <c r="W50" s="1434"/>
    </row>
    <row r="51" spans="1:23" s="1417" customFormat="1" ht="13.8">
      <c r="A51" s="1429"/>
      <c r="B51" s="1654" t="s">
        <v>3772</v>
      </c>
      <c r="C51" s="1666" t="s">
        <v>2963</v>
      </c>
      <c r="D51" s="1667" t="s">
        <v>48</v>
      </c>
      <c r="E51" s="1668">
        <v>20543.57</v>
      </c>
      <c r="F51" s="1669">
        <v>5.05</v>
      </c>
      <c r="G51" s="1755">
        <v>5.1100000000000003</v>
      </c>
      <c r="H51" s="1670">
        <f t="shared" si="5"/>
        <v>103745.03</v>
      </c>
      <c r="I51" s="1670">
        <f t="shared" si="6"/>
        <v>104977.64</v>
      </c>
      <c r="J51" s="1671">
        <v>20543.57</v>
      </c>
      <c r="K51" s="1671">
        <v>104977.64270000001</v>
      </c>
      <c r="L51" s="1895"/>
      <c r="M51" s="1673">
        <f t="shared" si="7"/>
        <v>0</v>
      </c>
      <c r="N51" s="1674">
        <f t="shared" si="2"/>
        <v>20543.57</v>
      </c>
      <c r="O51" s="1675">
        <f t="shared" si="8"/>
        <v>104977.64270000001</v>
      </c>
      <c r="P51" s="1676">
        <f t="shared" si="9"/>
        <v>1.000000025719763</v>
      </c>
      <c r="Q51" s="1677">
        <f t="shared" si="10"/>
        <v>0</v>
      </c>
      <c r="R51" s="1678">
        <f t="shared" si="11"/>
        <v>0</v>
      </c>
      <c r="S51" s="1679">
        <f t="shared" si="12"/>
        <v>0</v>
      </c>
      <c r="T51" s="1423"/>
      <c r="U51" s="1423"/>
      <c r="V51" s="1423"/>
      <c r="W51" s="1434"/>
    </row>
    <row r="52" spans="1:23" s="1417" customFormat="1" ht="13.8">
      <c r="B52" s="1752" t="s">
        <v>3773</v>
      </c>
      <c r="C52" s="1746" t="s">
        <v>2964</v>
      </c>
      <c r="D52" s="1667"/>
      <c r="E52" s="1668"/>
      <c r="F52" s="1669"/>
      <c r="G52" s="1755"/>
      <c r="H52" s="1670">
        <f t="shared" si="5"/>
        <v>0</v>
      </c>
      <c r="I52" s="1670">
        <f t="shared" si="6"/>
        <v>0</v>
      </c>
      <c r="J52" s="1671"/>
      <c r="K52" s="1671">
        <v>0</v>
      </c>
      <c r="L52" s="1895"/>
      <c r="M52" s="1673">
        <f t="shared" si="7"/>
        <v>0</v>
      </c>
      <c r="N52" s="1674"/>
      <c r="O52" s="1675">
        <f t="shared" si="8"/>
        <v>0</v>
      </c>
      <c r="P52" s="1676" t="str">
        <f t="shared" si="9"/>
        <v/>
      </c>
      <c r="Q52" s="1677"/>
      <c r="R52" s="1678">
        <f t="shared" si="11"/>
        <v>0</v>
      </c>
      <c r="S52" s="1679" t="str">
        <f t="shared" si="12"/>
        <v/>
      </c>
      <c r="T52" s="1423"/>
      <c r="U52" s="1423"/>
      <c r="V52" s="1423"/>
      <c r="W52" s="1434"/>
    </row>
    <row r="53" spans="1:23" s="1417" customFormat="1" ht="13.8">
      <c r="A53" s="1416"/>
      <c r="B53" s="1654" t="s">
        <v>3774</v>
      </c>
      <c r="C53" s="1666" t="s">
        <v>3775</v>
      </c>
      <c r="D53" s="1667" t="s">
        <v>40</v>
      </c>
      <c r="E53" s="1668">
        <v>54.07</v>
      </c>
      <c r="F53" s="1669">
        <v>435.75</v>
      </c>
      <c r="G53" s="1755">
        <v>436.26</v>
      </c>
      <c r="H53" s="1670">
        <f t="shared" si="5"/>
        <v>23561</v>
      </c>
      <c r="I53" s="1670">
        <f t="shared" si="6"/>
        <v>23588.58</v>
      </c>
      <c r="J53" s="1671">
        <v>54.069999999999993</v>
      </c>
      <c r="K53" s="1671">
        <v>23588.578199999996</v>
      </c>
      <c r="L53" s="1895"/>
      <c r="M53" s="1673">
        <f t="shared" si="7"/>
        <v>0</v>
      </c>
      <c r="N53" s="1674">
        <f t="shared" si="2"/>
        <v>54.069999999999993</v>
      </c>
      <c r="O53" s="1675">
        <f t="shared" si="8"/>
        <v>23588.578199999996</v>
      </c>
      <c r="P53" s="1676">
        <f t="shared" si="9"/>
        <v>0.99999992369188795</v>
      </c>
      <c r="Q53" s="1677">
        <f t="shared" si="10"/>
        <v>0</v>
      </c>
      <c r="R53" s="1678">
        <f t="shared" si="11"/>
        <v>0</v>
      </c>
      <c r="S53" s="1679">
        <f t="shared" si="12"/>
        <v>0</v>
      </c>
      <c r="T53" s="1423"/>
      <c r="U53" s="1423"/>
      <c r="V53" s="1423"/>
      <c r="W53" s="1434"/>
    </row>
    <row r="54" spans="1:23" s="1417" customFormat="1" ht="13.8">
      <c r="A54" s="1429"/>
      <c r="B54" s="1654" t="s">
        <v>3776</v>
      </c>
      <c r="C54" s="1666" t="s">
        <v>2966</v>
      </c>
      <c r="D54" s="1667" t="s">
        <v>37</v>
      </c>
      <c r="E54" s="1668">
        <v>542.76</v>
      </c>
      <c r="F54" s="1669">
        <v>88.96</v>
      </c>
      <c r="G54" s="1755">
        <v>90.87</v>
      </c>
      <c r="H54" s="1670">
        <f t="shared" si="5"/>
        <v>48283.93</v>
      </c>
      <c r="I54" s="1670">
        <f t="shared" si="6"/>
        <v>49320.6</v>
      </c>
      <c r="J54" s="1671">
        <v>120.15</v>
      </c>
      <c r="K54" s="1671">
        <v>10918.030500000001</v>
      </c>
      <c r="L54" s="1895"/>
      <c r="M54" s="1673">
        <f t="shared" si="7"/>
        <v>0</v>
      </c>
      <c r="N54" s="1674">
        <f t="shared" si="2"/>
        <v>120.15</v>
      </c>
      <c r="O54" s="1675">
        <f t="shared" si="8"/>
        <v>10918.030500000001</v>
      </c>
      <c r="P54" s="1676">
        <f t="shared" si="9"/>
        <v>0.22136856607583852</v>
      </c>
      <c r="Q54" s="1677">
        <f t="shared" si="10"/>
        <v>422.61</v>
      </c>
      <c r="R54" s="1678">
        <f t="shared" si="11"/>
        <v>38402.57</v>
      </c>
      <c r="S54" s="1679">
        <f t="shared" si="12"/>
        <v>0.77863144406191331</v>
      </c>
      <c r="T54" s="1423"/>
      <c r="U54" s="1423"/>
      <c r="V54" s="1423"/>
      <c r="W54" s="1434"/>
    </row>
    <row r="55" spans="1:23" s="1417" customFormat="1" ht="13.8">
      <c r="B55" s="1654" t="s">
        <v>3777</v>
      </c>
      <c r="C55" s="1666" t="s">
        <v>2967</v>
      </c>
      <c r="D55" s="1667" t="s">
        <v>48</v>
      </c>
      <c r="E55" s="1668">
        <v>17486.73</v>
      </c>
      <c r="F55" s="1669">
        <v>5.05</v>
      </c>
      <c r="G55" s="1755">
        <v>5.1100000000000003</v>
      </c>
      <c r="H55" s="1670">
        <f t="shared" si="5"/>
        <v>88307.99</v>
      </c>
      <c r="I55" s="1670">
        <f t="shared" si="6"/>
        <v>89357.19</v>
      </c>
      <c r="J55" s="1671">
        <v>17486.73</v>
      </c>
      <c r="K55" s="1671">
        <v>89357.190300000002</v>
      </c>
      <c r="L55" s="1895"/>
      <c r="M55" s="1673">
        <f t="shared" si="7"/>
        <v>0</v>
      </c>
      <c r="N55" s="1674">
        <f t="shared" si="2"/>
        <v>17486.73</v>
      </c>
      <c r="O55" s="1675">
        <f t="shared" si="8"/>
        <v>89357.190300000002</v>
      </c>
      <c r="P55" s="1676">
        <f t="shared" si="9"/>
        <v>1.0000000033573124</v>
      </c>
      <c r="Q55" s="1677">
        <f t="shared" si="10"/>
        <v>0</v>
      </c>
      <c r="R55" s="1678">
        <f t="shared" si="11"/>
        <v>0</v>
      </c>
      <c r="S55" s="1679">
        <f t="shared" si="12"/>
        <v>0</v>
      </c>
      <c r="T55" s="1423"/>
      <c r="U55" s="1423"/>
      <c r="V55" s="1423"/>
      <c r="W55" s="1434"/>
    </row>
    <row r="56" spans="1:23" s="1417" customFormat="1" ht="13.8">
      <c r="A56" s="1416"/>
      <c r="B56" s="1752" t="s">
        <v>3778</v>
      </c>
      <c r="C56" s="1746" t="s">
        <v>3779</v>
      </c>
      <c r="D56" s="1667"/>
      <c r="E56" s="1668"/>
      <c r="F56" s="1669"/>
      <c r="G56" s="1755"/>
      <c r="H56" s="1670">
        <f t="shared" si="5"/>
        <v>0</v>
      </c>
      <c r="I56" s="1670">
        <f t="shared" si="6"/>
        <v>0</v>
      </c>
      <c r="J56" s="1671"/>
      <c r="K56" s="1671">
        <v>0</v>
      </c>
      <c r="L56" s="1895"/>
      <c r="M56" s="1673">
        <f t="shared" si="7"/>
        <v>0</v>
      </c>
      <c r="N56" s="1674"/>
      <c r="O56" s="1675">
        <f t="shared" si="8"/>
        <v>0</v>
      </c>
      <c r="P56" s="1676" t="str">
        <f t="shared" si="9"/>
        <v/>
      </c>
      <c r="Q56" s="1677"/>
      <c r="R56" s="1678">
        <f t="shared" si="11"/>
        <v>0</v>
      </c>
      <c r="S56" s="1679" t="str">
        <f t="shared" si="12"/>
        <v/>
      </c>
      <c r="T56" s="1423"/>
      <c r="U56" s="1423"/>
      <c r="V56" s="1423"/>
      <c r="W56" s="1434"/>
    </row>
    <row r="57" spans="1:23" s="1417" customFormat="1" ht="27.6">
      <c r="A57" s="1429"/>
      <c r="B57" s="1654" t="s">
        <v>3780</v>
      </c>
      <c r="C57" s="1666" t="s">
        <v>2969</v>
      </c>
      <c r="D57" s="1667" t="s">
        <v>40</v>
      </c>
      <c r="E57" s="1668">
        <v>2.57</v>
      </c>
      <c r="F57" s="1669">
        <v>442.22</v>
      </c>
      <c r="G57" s="1755">
        <v>442.98</v>
      </c>
      <c r="H57" s="1670">
        <f t="shared" si="5"/>
        <v>1136.51</v>
      </c>
      <c r="I57" s="1670">
        <f t="shared" si="6"/>
        <v>1138.46</v>
      </c>
      <c r="J57" s="1671">
        <v>0</v>
      </c>
      <c r="K57" s="1671">
        <v>0</v>
      </c>
      <c r="L57" s="1895"/>
      <c r="M57" s="1673">
        <f t="shared" si="7"/>
        <v>0</v>
      </c>
      <c r="N57" s="1674">
        <f t="shared" si="2"/>
        <v>0</v>
      </c>
      <c r="O57" s="1675">
        <f t="shared" si="8"/>
        <v>0</v>
      </c>
      <c r="P57" s="1676">
        <f t="shared" si="9"/>
        <v>0</v>
      </c>
      <c r="Q57" s="1677">
        <f t="shared" si="10"/>
        <v>2.57</v>
      </c>
      <c r="R57" s="1678">
        <f t="shared" si="11"/>
        <v>1138.46</v>
      </c>
      <c r="S57" s="1679">
        <f t="shared" si="12"/>
        <v>1</v>
      </c>
      <c r="T57" s="1423"/>
      <c r="U57" s="1423"/>
      <c r="V57" s="1423"/>
      <c r="W57" s="1434"/>
    </row>
    <row r="58" spans="1:23" s="1417" customFormat="1" ht="13.8">
      <c r="B58" s="1654" t="s">
        <v>3781</v>
      </c>
      <c r="C58" s="1666" t="s">
        <v>2970</v>
      </c>
      <c r="D58" s="1667" t="s">
        <v>37</v>
      </c>
      <c r="E58" s="1668">
        <v>32.06</v>
      </c>
      <c r="F58" s="1669">
        <v>59.89</v>
      </c>
      <c r="G58" s="1755">
        <v>61.03</v>
      </c>
      <c r="H58" s="1670">
        <f t="shared" si="5"/>
        <v>1920.07</v>
      </c>
      <c r="I58" s="1670">
        <f t="shared" si="6"/>
        <v>1956.62</v>
      </c>
      <c r="J58" s="1671">
        <v>0</v>
      </c>
      <c r="K58" s="1671">
        <v>0</v>
      </c>
      <c r="L58" s="1895"/>
      <c r="M58" s="1673">
        <f t="shared" si="7"/>
        <v>0</v>
      </c>
      <c r="N58" s="1674">
        <f t="shared" si="2"/>
        <v>0</v>
      </c>
      <c r="O58" s="1675">
        <f t="shared" si="8"/>
        <v>0</v>
      </c>
      <c r="P58" s="1676">
        <f t="shared" si="9"/>
        <v>0</v>
      </c>
      <c r="Q58" s="1677">
        <f t="shared" si="10"/>
        <v>32.06</v>
      </c>
      <c r="R58" s="1678">
        <f t="shared" si="11"/>
        <v>1956.62</v>
      </c>
      <c r="S58" s="1679">
        <f t="shared" si="12"/>
        <v>1</v>
      </c>
      <c r="T58" s="1423"/>
      <c r="U58" s="1423"/>
      <c r="V58" s="1423"/>
      <c r="W58" s="1434"/>
    </row>
    <row r="59" spans="1:23" s="1417" customFormat="1" ht="13.8">
      <c r="A59" s="1429"/>
      <c r="B59" s="1654" t="s">
        <v>3782</v>
      </c>
      <c r="C59" s="1666" t="s">
        <v>2971</v>
      </c>
      <c r="D59" s="1667" t="s">
        <v>48</v>
      </c>
      <c r="E59" s="1668">
        <v>227.36</v>
      </c>
      <c r="F59" s="1669">
        <v>5.05</v>
      </c>
      <c r="G59" s="1755">
        <v>5.1100000000000003</v>
      </c>
      <c r="H59" s="1670">
        <f t="shared" si="5"/>
        <v>1148.17</v>
      </c>
      <c r="I59" s="1670">
        <f t="shared" si="6"/>
        <v>1161.81</v>
      </c>
      <c r="J59" s="1671">
        <v>0</v>
      </c>
      <c r="K59" s="1671">
        <v>0</v>
      </c>
      <c r="L59" s="1895"/>
      <c r="M59" s="1673">
        <f t="shared" si="7"/>
        <v>0</v>
      </c>
      <c r="N59" s="1674">
        <f t="shared" si="2"/>
        <v>0</v>
      </c>
      <c r="O59" s="1675">
        <f t="shared" si="8"/>
        <v>0</v>
      </c>
      <c r="P59" s="1676">
        <f t="shared" si="9"/>
        <v>0</v>
      </c>
      <c r="Q59" s="1677">
        <f t="shared" si="10"/>
        <v>227.36</v>
      </c>
      <c r="R59" s="1678">
        <f t="shared" si="11"/>
        <v>1161.81</v>
      </c>
      <c r="S59" s="1679">
        <f t="shared" si="12"/>
        <v>1</v>
      </c>
      <c r="T59" s="1423"/>
      <c r="U59" s="1423"/>
      <c r="V59" s="1423"/>
      <c r="W59" s="1434"/>
    </row>
    <row r="60" spans="1:23" s="1417" customFormat="1" ht="27.6">
      <c r="A60" s="1429"/>
      <c r="B60" s="1654" t="s">
        <v>3783</v>
      </c>
      <c r="C60" s="1666" t="s">
        <v>2972</v>
      </c>
      <c r="D60" s="1667" t="s">
        <v>36</v>
      </c>
      <c r="E60" s="1668">
        <v>262.14999999999998</v>
      </c>
      <c r="F60" s="1669">
        <v>5.18</v>
      </c>
      <c r="G60" s="1755">
        <v>5.22</v>
      </c>
      <c r="H60" s="1670">
        <f t="shared" si="5"/>
        <v>1357.94</v>
      </c>
      <c r="I60" s="1670">
        <f t="shared" si="6"/>
        <v>1368.42</v>
      </c>
      <c r="J60" s="1671">
        <v>0</v>
      </c>
      <c r="K60" s="1671">
        <v>0</v>
      </c>
      <c r="L60" s="1895"/>
      <c r="M60" s="1673">
        <f t="shared" si="7"/>
        <v>0</v>
      </c>
      <c r="N60" s="1674">
        <f t="shared" si="2"/>
        <v>0</v>
      </c>
      <c r="O60" s="1675">
        <f t="shared" si="8"/>
        <v>0</v>
      </c>
      <c r="P60" s="1676">
        <f t="shared" si="9"/>
        <v>0</v>
      </c>
      <c r="Q60" s="1677">
        <f t="shared" si="10"/>
        <v>262.14999999999998</v>
      </c>
      <c r="R60" s="1678">
        <f t="shared" si="11"/>
        <v>1368.42</v>
      </c>
      <c r="S60" s="1679">
        <f t="shared" si="12"/>
        <v>1</v>
      </c>
      <c r="T60" s="1423"/>
      <c r="U60" s="1423"/>
      <c r="V60" s="1423"/>
      <c r="W60" s="1434"/>
    </row>
    <row r="61" spans="1:23" s="1417" customFormat="1" ht="13.8">
      <c r="B61" s="1752" t="s">
        <v>3784</v>
      </c>
      <c r="C61" s="1746" t="s">
        <v>2973</v>
      </c>
      <c r="D61" s="1667"/>
      <c r="E61" s="1668"/>
      <c r="F61" s="1669"/>
      <c r="G61" s="1755"/>
      <c r="H61" s="1670">
        <f t="shared" si="5"/>
        <v>0</v>
      </c>
      <c r="I61" s="1670">
        <f t="shared" si="6"/>
        <v>0</v>
      </c>
      <c r="J61" s="1671"/>
      <c r="K61" s="1671">
        <v>0</v>
      </c>
      <c r="L61" s="1895"/>
      <c r="M61" s="1673">
        <f t="shared" si="7"/>
        <v>0</v>
      </c>
      <c r="N61" s="1674"/>
      <c r="O61" s="1675">
        <f t="shared" si="8"/>
        <v>0</v>
      </c>
      <c r="P61" s="1676" t="str">
        <f t="shared" si="9"/>
        <v/>
      </c>
      <c r="Q61" s="1677"/>
      <c r="R61" s="1678">
        <f t="shared" si="11"/>
        <v>0</v>
      </c>
      <c r="S61" s="1679" t="str">
        <f t="shared" si="12"/>
        <v/>
      </c>
      <c r="T61" s="1423"/>
      <c r="U61" s="1423"/>
      <c r="V61" s="1423"/>
      <c r="W61" s="1434"/>
    </row>
    <row r="62" spans="1:23" s="1417" customFormat="1" ht="27.6">
      <c r="A62" s="1416"/>
      <c r="B62" s="1654" t="s">
        <v>3785</v>
      </c>
      <c r="C62" s="1666" t="s">
        <v>2969</v>
      </c>
      <c r="D62" s="1667" t="s">
        <v>40</v>
      </c>
      <c r="E62" s="1668">
        <v>9.58</v>
      </c>
      <c r="F62" s="1669">
        <v>442.22</v>
      </c>
      <c r="G62" s="1755">
        <v>442.98</v>
      </c>
      <c r="H62" s="1670">
        <f t="shared" si="5"/>
        <v>4236.47</v>
      </c>
      <c r="I62" s="1670">
        <f t="shared" si="6"/>
        <v>4243.75</v>
      </c>
      <c r="J62" s="1671">
        <v>9.58</v>
      </c>
      <c r="K62" s="1671">
        <v>4243.7484000000004</v>
      </c>
      <c r="L62" s="1895"/>
      <c r="M62" s="1673">
        <f t="shared" si="7"/>
        <v>0</v>
      </c>
      <c r="N62" s="1674">
        <f t="shared" si="2"/>
        <v>9.58</v>
      </c>
      <c r="O62" s="1675">
        <f t="shared" si="8"/>
        <v>4243.7484000000004</v>
      </c>
      <c r="P62" s="1676">
        <f t="shared" si="9"/>
        <v>0.99999962297496325</v>
      </c>
      <c r="Q62" s="1677">
        <f t="shared" si="10"/>
        <v>0</v>
      </c>
      <c r="R62" s="1678">
        <f t="shared" si="11"/>
        <v>0</v>
      </c>
      <c r="S62" s="1679">
        <f t="shared" si="12"/>
        <v>0</v>
      </c>
      <c r="T62" s="1423"/>
      <c r="U62" s="1423"/>
      <c r="V62" s="1423"/>
      <c r="W62" s="1434"/>
    </row>
    <row r="63" spans="1:23" s="1417" customFormat="1" ht="13.8">
      <c r="A63" s="1429"/>
      <c r="B63" s="1654" t="s">
        <v>3786</v>
      </c>
      <c r="C63" s="1666" t="s">
        <v>2970</v>
      </c>
      <c r="D63" s="1667" t="s">
        <v>37</v>
      </c>
      <c r="E63" s="1668">
        <v>63.84</v>
      </c>
      <c r="F63" s="1669">
        <v>59.89</v>
      </c>
      <c r="G63" s="1755">
        <v>61.03</v>
      </c>
      <c r="H63" s="1670">
        <f t="shared" si="5"/>
        <v>3823.38</v>
      </c>
      <c r="I63" s="1670">
        <f t="shared" si="6"/>
        <v>3896.16</v>
      </c>
      <c r="J63" s="1671">
        <v>63.84</v>
      </c>
      <c r="K63" s="1671">
        <v>3896.1552000000001</v>
      </c>
      <c r="L63" s="1895"/>
      <c r="M63" s="1673">
        <f t="shared" si="7"/>
        <v>0</v>
      </c>
      <c r="N63" s="1674">
        <f t="shared" si="2"/>
        <v>63.84</v>
      </c>
      <c r="O63" s="1675">
        <f t="shared" si="8"/>
        <v>3896.1552000000001</v>
      </c>
      <c r="P63" s="1676">
        <f t="shared" si="9"/>
        <v>0.99999876801774057</v>
      </c>
      <c r="Q63" s="1677">
        <f t="shared" si="10"/>
        <v>0</v>
      </c>
      <c r="R63" s="1678">
        <f t="shared" si="11"/>
        <v>0</v>
      </c>
      <c r="S63" s="1679">
        <f t="shared" si="12"/>
        <v>0</v>
      </c>
      <c r="T63" s="1423"/>
      <c r="U63" s="1423"/>
      <c r="V63" s="1423"/>
      <c r="W63" s="1434"/>
    </row>
    <row r="64" spans="1:23" s="1417" customFormat="1" ht="13.8">
      <c r="B64" s="1654" t="s">
        <v>3787</v>
      </c>
      <c r="C64" s="1666" t="s">
        <v>2971</v>
      </c>
      <c r="D64" s="1667" t="s">
        <v>48</v>
      </c>
      <c r="E64" s="1668">
        <v>1130.06</v>
      </c>
      <c r="F64" s="1669">
        <v>5.05</v>
      </c>
      <c r="G64" s="1755">
        <v>5.1100000000000003</v>
      </c>
      <c r="H64" s="1670">
        <f t="shared" si="5"/>
        <v>5706.8</v>
      </c>
      <c r="I64" s="1670">
        <f t="shared" si="6"/>
        <v>5774.61</v>
      </c>
      <c r="J64" s="1671">
        <v>679.07688000000076</v>
      </c>
      <c r="K64" s="1671">
        <v>3470.0828568000043</v>
      </c>
      <c r="L64" s="1895"/>
      <c r="M64" s="1673">
        <f t="shared" si="7"/>
        <v>0</v>
      </c>
      <c r="N64" s="1674">
        <f t="shared" si="2"/>
        <v>679.07688000000076</v>
      </c>
      <c r="O64" s="1675">
        <f t="shared" si="8"/>
        <v>3470.0828568000043</v>
      </c>
      <c r="P64" s="1676">
        <f t="shared" si="9"/>
        <v>0.60092073002332702</v>
      </c>
      <c r="Q64" s="1677">
        <f t="shared" si="10"/>
        <v>450.98311999999919</v>
      </c>
      <c r="R64" s="1678">
        <f t="shared" si="11"/>
        <v>2304.52</v>
      </c>
      <c r="S64" s="1679">
        <f t="shared" si="12"/>
        <v>0.39907803297538708</v>
      </c>
      <c r="T64" s="1423"/>
      <c r="U64" s="1423"/>
      <c r="V64" s="1423"/>
      <c r="W64" s="1434"/>
    </row>
    <row r="65" spans="1:23" s="1417" customFormat="1" ht="27.6">
      <c r="A65" s="1416"/>
      <c r="B65" s="1654" t="s">
        <v>3788</v>
      </c>
      <c r="C65" s="1666" t="s">
        <v>2974</v>
      </c>
      <c r="D65" s="1667" t="s">
        <v>36</v>
      </c>
      <c r="E65" s="1668">
        <v>1241</v>
      </c>
      <c r="F65" s="1669">
        <v>5.52</v>
      </c>
      <c r="G65" s="1755">
        <v>5.56</v>
      </c>
      <c r="H65" s="1670">
        <f t="shared" si="5"/>
        <v>6850.32</v>
      </c>
      <c r="I65" s="1670">
        <f t="shared" si="6"/>
        <v>6899.96</v>
      </c>
      <c r="J65" s="1671">
        <v>1241</v>
      </c>
      <c r="K65" s="1671">
        <v>6899.9599999999991</v>
      </c>
      <c r="L65" s="1895"/>
      <c r="M65" s="1673">
        <f t="shared" si="7"/>
        <v>0</v>
      </c>
      <c r="N65" s="1674">
        <f t="shared" si="2"/>
        <v>1241</v>
      </c>
      <c r="O65" s="1675">
        <f t="shared" si="8"/>
        <v>6899.9599999999991</v>
      </c>
      <c r="P65" s="1676">
        <f t="shared" si="9"/>
        <v>0.99999999999999989</v>
      </c>
      <c r="Q65" s="1677">
        <f t="shared" si="10"/>
        <v>0</v>
      </c>
      <c r="R65" s="1678">
        <f t="shared" si="11"/>
        <v>0</v>
      </c>
      <c r="S65" s="1679">
        <f t="shared" si="12"/>
        <v>0</v>
      </c>
      <c r="T65" s="1423"/>
      <c r="U65" s="1423"/>
      <c r="V65" s="1423"/>
      <c r="W65" s="1434"/>
    </row>
    <row r="66" spans="1:23" s="1417" customFormat="1" ht="13.8">
      <c r="A66" s="1429"/>
      <c r="B66" s="1752" t="s">
        <v>3789</v>
      </c>
      <c r="C66" s="1746" t="s">
        <v>2977</v>
      </c>
      <c r="D66" s="1667"/>
      <c r="E66" s="1668"/>
      <c r="F66" s="1669"/>
      <c r="G66" s="1755"/>
      <c r="H66" s="1670">
        <f t="shared" si="5"/>
        <v>0</v>
      </c>
      <c r="I66" s="1670">
        <f t="shared" si="6"/>
        <v>0</v>
      </c>
      <c r="J66" s="1671"/>
      <c r="K66" s="1671">
        <v>0</v>
      </c>
      <c r="L66" s="1895"/>
      <c r="M66" s="1673">
        <f t="shared" si="7"/>
        <v>0</v>
      </c>
      <c r="N66" s="1674"/>
      <c r="O66" s="1675">
        <f t="shared" si="8"/>
        <v>0</v>
      </c>
      <c r="P66" s="1676" t="str">
        <f t="shared" si="9"/>
        <v/>
      </c>
      <c r="Q66" s="1677"/>
      <c r="R66" s="1678">
        <f t="shared" si="11"/>
        <v>0</v>
      </c>
      <c r="S66" s="1679" t="str">
        <f t="shared" si="12"/>
        <v/>
      </c>
      <c r="T66" s="1423"/>
      <c r="U66" s="1423"/>
      <c r="V66" s="1423"/>
      <c r="W66" s="1434"/>
    </row>
    <row r="67" spans="1:23" s="1417" customFormat="1" ht="13.8">
      <c r="B67" s="1654" t="s">
        <v>3790</v>
      </c>
      <c r="C67" s="1666" t="s">
        <v>3791</v>
      </c>
      <c r="D67" s="1667" t="s">
        <v>40</v>
      </c>
      <c r="E67" s="1668">
        <v>1.18</v>
      </c>
      <c r="F67" s="1669">
        <v>442.22</v>
      </c>
      <c r="G67" s="1755">
        <v>442.98</v>
      </c>
      <c r="H67" s="1670">
        <f t="shared" si="5"/>
        <v>521.82000000000005</v>
      </c>
      <c r="I67" s="1670">
        <f t="shared" si="6"/>
        <v>522.72</v>
      </c>
      <c r="J67" s="1671">
        <v>1.18</v>
      </c>
      <c r="K67" s="1671">
        <v>522.71640000000002</v>
      </c>
      <c r="L67" s="1895"/>
      <c r="M67" s="1673">
        <f t="shared" si="7"/>
        <v>0</v>
      </c>
      <c r="N67" s="1674">
        <f t="shared" si="2"/>
        <v>1.18</v>
      </c>
      <c r="O67" s="1675">
        <f t="shared" si="8"/>
        <v>522.71640000000002</v>
      </c>
      <c r="P67" s="1676">
        <f t="shared" si="9"/>
        <v>0.99999311294765836</v>
      </c>
      <c r="Q67" s="1677">
        <f t="shared" si="10"/>
        <v>0</v>
      </c>
      <c r="R67" s="1678">
        <f t="shared" si="11"/>
        <v>0</v>
      </c>
      <c r="S67" s="1679">
        <f t="shared" si="12"/>
        <v>0</v>
      </c>
      <c r="T67" s="1423"/>
      <c r="U67" s="1423"/>
      <c r="V67" s="1423"/>
      <c r="W67" s="1434"/>
    </row>
    <row r="68" spans="1:23" s="1417" customFormat="1" ht="13.8">
      <c r="A68" s="1429"/>
      <c r="B68" s="1654" t="s">
        <v>3792</v>
      </c>
      <c r="C68" s="1666" t="s">
        <v>2979</v>
      </c>
      <c r="D68" s="1667" t="s">
        <v>37</v>
      </c>
      <c r="E68" s="1668">
        <v>10.47</v>
      </c>
      <c r="F68" s="1669">
        <v>59.89</v>
      </c>
      <c r="G68" s="1755">
        <v>61.03</v>
      </c>
      <c r="H68" s="1670">
        <f t="shared" si="5"/>
        <v>627.04999999999995</v>
      </c>
      <c r="I68" s="1670">
        <f t="shared" si="6"/>
        <v>638.98</v>
      </c>
      <c r="J68" s="1671">
        <v>10.47</v>
      </c>
      <c r="K68" s="1671">
        <v>638.98410000000001</v>
      </c>
      <c r="L68" s="1895"/>
      <c r="M68" s="1673">
        <f t="shared" si="7"/>
        <v>0</v>
      </c>
      <c r="N68" s="1674">
        <f t="shared" si="2"/>
        <v>10.47</v>
      </c>
      <c r="O68" s="1675">
        <f t="shared" si="8"/>
        <v>638.98410000000001</v>
      </c>
      <c r="P68" s="1676">
        <f t="shared" si="9"/>
        <v>1.000006416476259</v>
      </c>
      <c r="Q68" s="1677">
        <f t="shared" si="10"/>
        <v>0</v>
      </c>
      <c r="R68" s="1678">
        <f t="shared" si="11"/>
        <v>0</v>
      </c>
      <c r="S68" s="1679">
        <f t="shared" si="12"/>
        <v>0</v>
      </c>
      <c r="T68" s="1423"/>
      <c r="U68" s="1423"/>
      <c r="V68" s="1423"/>
      <c r="W68" s="1434"/>
    </row>
    <row r="69" spans="1:23" s="1417" customFormat="1" ht="13.8">
      <c r="A69" s="1429"/>
      <c r="B69" s="1654" t="s">
        <v>3793</v>
      </c>
      <c r="C69" s="1666" t="s">
        <v>2980</v>
      </c>
      <c r="D69" s="1667" t="s">
        <v>48</v>
      </c>
      <c r="E69" s="1668">
        <v>104.87</v>
      </c>
      <c r="F69" s="1669">
        <v>5.05</v>
      </c>
      <c r="G69" s="1755">
        <v>5.1100000000000003</v>
      </c>
      <c r="H69" s="1670">
        <f t="shared" si="5"/>
        <v>529.59</v>
      </c>
      <c r="I69" s="1670">
        <f t="shared" si="6"/>
        <v>535.89</v>
      </c>
      <c r="J69" s="1671">
        <v>104.87</v>
      </c>
      <c r="K69" s="1671">
        <v>535.88570000000004</v>
      </c>
      <c r="L69" s="1895"/>
      <c r="M69" s="1673">
        <f t="shared" si="7"/>
        <v>0</v>
      </c>
      <c r="N69" s="1674">
        <f t="shared" si="2"/>
        <v>104.87</v>
      </c>
      <c r="O69" s="1675">
        <f t="shared" si="8"/>
        <v>535.88570000000004</v>
      </c>
      <c r="P69" s="1676">
        <f t="shared" si="9"/>
        <v>0.99999197596521683</v>
      </c>
      <c r="Q69" s="1677">
        <f t="shared" si="10"/>
        <v>0</v>
      </c>
      <c r="R69" s="1678">
        <f t="shared" si="11"/>
        <v>0</v>
      </c>
      <c r="S69" s="1679">
        <f t="shared" si="12"/>
        <v>0</v>
      </c>
      <c r="T69" s="1423"/>
      <c r="U69" s="1423"/>
      <c r="V69" s="1423"/>
      <c r="W69" s="1434"/>
    </row>
    <row r="70" spans="1:23" s="1417" customFormat="1" ht="27.6">
      <c r="B70" s="1654" t="s">
        <v>3794</v>
      </c>
      <c r="C70" s="1666" t="s">
        <v>2981</v>
      </c>
      <c r="D70" s="1667" t="s">
        <v>36</v>
      </c>
      <c r="E70" s="1668">
        <v>87</v>
      </c>
      <c r="F70" s="1669">
        <v>6.26</v>
      </c>
      <c r="G70" s="1755">
        <v>6.3</v>
      </c>
      <c r="H70" s="1670">
        <f t="shared" si="5"/>
        <v>544.62</v>
      </c>
      <c r="I70" s="1670">
        <f t="shared" si="6"/>
        <v>548.1</v>
      </c>
      <c r="J70" s="1671">
        <v>87</v>
      </c>
      <c r="K70" s="1671">
        <v>548.1</v>
      </c>
      <c r="L70" s="1895"/>
      <c r="M70" s="1673">
        <f t="shared" si="7"/>
        <v>0</v>
      </c>
      <c r="N70" s="1674">
        <f t="shared" si="2"/>
        <v>87</v>
      </c>
      <c r="O70" s="1675">
        <f t="shared" si="8"/>
        <v>548.1</v>
      </c>
      <c r="P70" s="1676">
        <f t="shared" si="9"/>
        <v>1</v>
      </c>
      <c r="Q70" s="1677">
        <f t="shared" si="10"/>
        <v>0</v>
      </c>
      <c r="R70" s="1678">
        <f t="shared" si="11"/>
        <v>0</v>
      </c>
      <c r="S70" s="1679">
        <f t="shared" si="12"/>
        <v>0</v>
      </c>
      <c r="T70" s="1423"/>
      <c r="U70" s="1423"/>
      <c r="V70" s="1423"/>
      <c r="W70" s="1434"/>
    </row>
    <row r="71" spans="1:23" s="1417" customFormat="1" ht="13.8">
      <c r="A71" s="1416"/>
      <c r="B71" s="1752" t="s">
        <v>3795</v>
      </c>
      <c r="C71" s="1746" t="s">
        <v>2982</v>
      </c>
      <c r="D71" s="1667"/>
      <c r="E71" s="1668"/>
      <c r="F71" s="1669"/>
      <c r="G71" s="1755"/>
      <c r="H71" s="1670">
        <f t="shared" si="5"/>
        <v>0</v>
      </c>
      <c r="I71" s="1670">
        <f t="shared" si="6"/>
        <v>0</v>
      </c>
      <c r="J71" s="1671"/>
      <c r="K71" s="1671">
        <v>0</v>
      </c>
      <c r="L71" s="1895"/>
      <c r="M71" s="1673">
        <f t="shared" si="7"/>
        <v>0</v>
      </c>
      <c r="N71" s="1674"/>
      <c r="O71" s="1675">
        <f t="shared" si="8"/>
        <v>0</v>
      </c>
      <c r="P71" s="1676" t="str">
        <f t="shared" si="9"/>
        <v/>
      </c>
      <c r="Q71" s="1677"/>
      <c r="R71" s="1678">
        <f t="shared" si="11"/>
        <v>0</v>
      </c>
      <c r="S71" s="1679" t="str">
        <f t="shared" si="12"/>
        <v/>
      </c>
      <c r="T71" s="1423"/>
      <c r="U71" s="1423"/>
      <c r="V71" s="1423"/>
      <c r="W71" s="1434"/>
    </row>
    <row r="72" spans="1:23" s="1417" customFormat="1" ht="13.8">
      <c r="A72" s="1429"/>
      <c r="B72" s="1654" t="s">
        <v>3796</v>
      </c>
      <c r="C72" s="1666" t="s">
        <v>3791</v>
      </c>
      <c r="D72" s="1667" t="s">
        <v>40</v>
      </c>
      <c r="E72" s="1668">
        <v>76.52</v>
      </c>
      <c r="F72" s="1669">
        <v>442.22</v>
      </c>
      <c r="G72" s="1755">
        <v>442.98</v>
      </c>
      <c r="H72" s="1670">
        <f t="shared" si="5"/>
        <v>33838.67</v>
      </c>
      <c r="I72" s="1670">
        <f t="shared" si="6"/>
        <v>33896.83</v>
      </c>
      <c r="J72" s="1671">
        <v>76.52</v>
      </c>
      <c r="K72" s="1671">
        <v>33896.829599999997</v>
      </c>
      <c r="L72" s="1895"/>
      <c r="M72" s="1673">
        <f t="shared" si="7"/>
        <v>0</v>
      </c>
      <c r="N72" s="1674">
        <f t="shared" si="2"/>
        <v>76.52</v>
      </c>
      <c r="O72" s="1675">
        <f t="shared" si="8"/>
        <v>33896.829599999997</v>
      </c>
      <c r="P72" s="1676">
        <f t="shared" si="9"/>
        <v>0.99999998819948632</v>
      </c>
      <c r="Q72" s="1677">
        <f t="shared" si="10"/>
        <v>0</v>
      </c>
      <c r="R72" s="1678">
        <f t="shared" si="11"/>
        <v>0</v>
      </c>
      <c r="S72" s="1679">
        <f t="shared" si="12"/>
        <v>0</v>
      </c>
      <c r="T72" s="1423"/>
      <c r="U72" s="1423"/>
      <c r="V72" s="1423"/>
      <c r="W72" s="1434"/>
    </row>
    <row r="73" spans="1:23" s="1417" customFormat="1" ht="13.8">
      <c r="B73" s="1654" t="s">
        <v>3797</v>
      </c>
      <c r="C73" s="1666" t="s">
        <v>2979</v>
      </c>
      <c r="D73" s="1667" t="s">
        <v>37</v>
      </c>
      <c r="E73" s="1668">
        <v>517</v>
      </c>
      <c r="F73" s="1669">
        <v>59.89</v>
      </c>
      <c r="G73" s="1755">
        <v>61.03</v>
      </c>
      <c r="H73" s="1670">
        <f t="shared" si="5"/>
        <v>30963.13</v>
      </c>
      <c r="I73" s="1670">
        <f t="shared" si="6"/>
        <v>31552.51</v>
      </c>
      <c r="J73" s="1671">
        <v>517</v>
      </c>
      <c r="K73" s="1671">
        <v>31552.510000000002</v>
      </c>
      <c r="L73" s="1895"/>
      <c r="M73" s="1673">
        <f t="shared" si="7"/>
        <v>0</v>
      </c>
      <c r="N73" s="1674">
        <f t="shared" si="2"/>
        <v>517</v>
      </c>
      <c r="O73" s="1675">
        <f t="shared" si="8"/>
        <v>31552.510000000002</v>
      </c>
      <c r="P73" s="1676">
        <f t="shared" si="9"/>
        <v>1.0000000000000002</v>
      </c>
      <c r="Q73" s="1677">
        <f t="shared" si="10"/>
        <v>0</v>
      </c>
      <c r="R73" s="1678">
        <f t="shared" si="11"/>
        <v>0</v>
      </c>
      <c r="S73" s="1679">
        <f t="shared" si="12"/>
        <v>0</v>
      </c>
      <c r="T73" s="1423"/>
      <c r="U73" s="1423"/>
      <c r="V73" s="1423"/>
      <c r="W73" s="1434"/>
    </row>
    <row r="74" spans="1:23" s="1417" customFormat="1" ht="13.8">
      <c r="A74" s="1416"/>
      <c r="B74" s="1654" t="s">
        <v>3798</v>
      </c>
      <c r="C74" s="1666" t="s">
        <v>2980</v>
      </c>
      <c r="D74" s="1667" t="s">
        <v>48</v>
      </c>
      <c r="E74" s="1668">
        <v>4438.08</v>
      </c>
      <c r="F74" s="1669">
        <v>5.05</v>
      </c>
      <c r="G74" s="1755">
        <v>5.1100000000000003</v>
      </c>
      <c r="H74" s="1670">
        <f t="shared" si="5"/>
        <v>22412.3</v>
      </c>
      <c r="I74" s="1670">
        <f t="shared" si="6"/>
        <v>22678.59</v>
      </c>
      <c r="J74" s="1671">
        <v>4438.08</v>
      </c>
      <c r="K74" s="1671">
        <v>22678.588800000001</v>
      </c>
      <c r="L74" s="1895"/>
      <c r="M74" s="1673">
        <f t="shared" si="7"/>
        <v>0</v>
      </c>
      <c r="N74" s="1674">
        <f t="shared" si="2"/>
        <v>4438.08</v>
      </c>
      <c r="O74" s="1675">
        <f t="shared" si="8"/>
        <v>22678.588800000001</v>
      </c>
      <c r="P74" s="1676">
        <f t="shared" si="9"/>
        <v>0.99999994708665751</v>
      </c>
      <c r="Q74" s="1677">
        <f t="shared" si="10"/>
        <v>0</v>
      </c>
      <c r="R74" s="1678">
        <f t="shared" si="11"/>
        <v>0</v>
      </c>
      <c r="S74" s="1679">
        <f t="shared" si="12"/>
        <v>0</v>
      </c>
      <c r="T74" s="1423"/>
      <c r="U74" s="1423"/>
      <c r="V74" s="1423"/>
      <c r="W74" s="1434"/>
    </row>
    <row r="75" spans="1:23" s="1417" customFormat="1" ht="27.6">
      <c r="A75" s="1429"/>
      <c r="B75" s="1654" t="s">
        <v>3799</v>
      </c>
      <c r="C75" s="1666" t="s">
        <v>3800</v>
      </c>
      <c r="D75" s="1667" t="s">
        <v>36</v>
      </c>
      <c r="E75" s="1668">
        <v>4136</v>
      </c>
      <c r="F75" s="1669">
        <v>24.11</v>
      </c>
      <c r="G75" s="1755">
        <v>24.15</v>
      </c>
      <c r="H75" s="1670">
        <f t="shared" si="5"/>
        <v>99718.96</v>
      </c>
      <c r="I75" s="1670">
        <f t="shared" si="6"/>
        <v>99884.4</v>
      </c>
      <c r="J75" s="1671">
        <v>1520</v>
      </c>
      <c r="K75" s="1671">
        <v>36708</v>
      </c>
      <c r="L75" s="1895"/>
      <c r="M75" s="1673">
        <f t="shared" si="7"/>
        <v>0</v>
      </c>
      <c r="N75" s="1674">
        <f t="shared" si="2"/>
        <v>1520</v>
      </c>
      <c r="O75" s="1675">
        <f t="shared" si="8"/>
        <v>36708</v>
      </c>
      <c r="P75" s="1676">
        <f t="shared" si="9"/>
        <v>0.36750483558994201</v>
      </c>
      <c r="Q75" s="1677">
        <f t="shared" si="10"/>
        <v>2616</v>
      </c>
      <c r="R75" s="1678">
        <f t="shared" si="11"/>
        <v>63176.4</v>
      </c>
      <c r="S75" s="1679">
        <f t="shared" si="12"/>
        <v>0.63249516441005804</v>
      </c>
      <c r="T75" s="1423"/>
      <c r="U75" s="1423"/>
      <c r="V75" s="1423"/>
      <c r="W75" s="1434"/>
    </row>
    <row r="76" spans="1:23" s="1417" customFormat="1" ht="13.8">
      <c r="B76" s="1752" t="s">
        <v>3801</v>
      </c>
      <c r="C76" s="1746" t="s">
        <v>2985</v>
      </c>
      <c r="D76" s="1667"/>
      <c r="E76" s="1668"/>
      <c r="F76" s="1669"/>
      <c r="G76" s="1755"/>
      <c r="H76" s="1670">
        <f t="shared" si="5"/>
        <v>0</v>
      </c>
      <c r="I76" s="1670">
        <f t="shared" si="6"/>
        <v>0</v>
      </c>
      <c r="J76" s="1671"/>
      <c r="K76" s="1671">
        <v>0</v>
      </c>
      <c r="L76" s="1895"/>
      <c r="M76" s="1673">
        <f t="shared" si="7"/>
        <v>0</v>
      </c>
      <c r="N76" s="1674"/>
      <c r="O76" s="1675">
        <f t="shared" si="8"/>
        <v>0</v>
      </c>
      <c r="P76" s="1676" t="str">
        <f t="shared" si="9"/>
        <v/>
      </c>
      <c r="Q76" s="1677"/>
      <c r="R76" s="1678">
        <f t="shared" si="11"/>
        <v>0</v>
      </c>
      <c r="S76" s="1679" t="str">
        <f t="shared" si="12"/>
        <v/>
      </c>
      <c r="T76" s="1423"/>
      <c r="U76" s="1423"/>
      <c r="V76" s="1423"/>
      <c r="W76" s="1434"/>
    </row>
    <row r="77" spans="1:23" s="1417" customFormat="1" ht="27.6">
      <c r="A77" s="1429"/>
      <c r="B77" s="1654" t="s">
        <v>3802</v>
      </c>
      <c r="C77" s="1666" t="s">
        <v>2986</v>
      </c>
      <c r="D77" s="1667" t="s">
        <v>40</v>
      </c>
      <c r="E77" s="1668">
        <v>47.96</v>
      </c>
      <c r="F77" s="1669">
        <v>442.22</v>
      </c>
      <c r="G77" s="1755">
        <v>442.98</v>
      </c>
      <c r="H77" s="1670">
        <f t="shared" si="5"/>
        <v>21208.87</v>
      </c>
      <c r="I77" s="1670">
        <f t="shared" si="6"/>
        <v>21245.32</v>
      </c>
      <c r="J77" s="1671">
        <v>42.77</v>
      </c>
      <c r="K77" s="1671">
        <v>18946.254600000004</v>
      </c>
      <c r="L77" s="1895"/>
      <c r="M77" s="1673">
        <f t="shared" si="7"/>
        <v>0</v>
      </c>
      <c r="N77" s="1674">
        <f t="shared" si="2"/>
        <v>42.77</v>
      </c>
      <c r="O77" s="1675">
        <f t="shared" si="8"/>
        <v>18946.254600000004</v>
      </c>
      <c r="P77" s="1676">
        <f t="shared" si="9"/>
        <v>0.8917848542643747</v>
      </c>
      <c r="Q77" s="1677">
        <f t="shared" si="10"/>
        <v>5.1899999999999977</v>
      </c>
      <c r="R77" s="1678">
        <f t="shared" si="11"/>
        <v>2299.0700000000002</v>
      </c>
      <c r="S77" s="1679">
        <f t="shared" si="12"/>
        <v>0.10821536225389874</v>
      </c>
      <c r="T77" s="1423"/>
      <c r="U77" s="1423"/>
      <c r="V77" s="1423"/>
      <c r="W77" s="1434"/>
    </row>
    <row r="78" spans="1:23" s="1417" customFormat="1" ht="13.8">
      <c r="A78" s="1429"/>
      <c r="B78" s="1654" t="s">
        <v>3803</v>
      </c>
      <c r="C78" s="1666" t="s">
        <v>2987</v>
      </c>
      <c r="D78" s="1667" t="s">
        <v>37</v>
      </c>
      <c r="E78" s="1668">
        <v>242.21</v>
      </c>
      <c r="F78" s="1669">
        <v>71.72</v>
      </c>
      <c r="G78" s="1755">
        <v>73.150000000000006</v>
      </c>
      <c r="H78" s="1670">
        <f t="shared" si="5"/>
        <v>17371.3</v>
      </c>
      <c r="I78" s="1670">
        <f t="shared" si="6"/>
        <v>17717.66</v>
      </c>
      <c r="J78" s="1671">
        <v>169.45</v>
      </c>
      <c r="K78" s="1671">
        <v>12395.2675</v>
      </c>
      <c r="L78" s="1895"/>
      <c r="M78" s="1673">
        <f t="shared" si="7"/>
        <v>0</v>
      </c>
      <c r="N78" s="1674">
        <f t="shared" si="2"/>
        <v>169.45</v>
      </c>
      <c r="O78" s="1675">
        <f t="shared" si="8"/>
        <v>12395.2675</v>
      </c>
      <c r="P78" s="1676">
        <f t="shared" si="9"/>
        <v>0.69959958030575142</v>
      </c>
      <c r="Q78" s="1677">
        <f t="shared" si="10"/>
        <v>72.760000000000019</v>
      </c>
      <c r="R78" s="1678">
        <f t="shared" si="11"/>
        <v>5322.39</v>
      </c>
      <c r="S78" s="1679">
        <f t="shared" si="12"/>
        <v>0.30040027859209401</v>
      </c>
      <c r="T78" s="1423"/>
      <c r="U78" s="1423"/>
      <c r="V78" s="1423"/>
      <c r="W78" s="1434"/>
    </row>
    <row r="79" spans="1:23" s="1417" customFormat="1" ht="13.8">
      <c r="B79" s="1654" t="s">
        <v>3804</v>
      </c>
      <c r="C79" s="1666" t="s">
        <v>2988</v>
      </c>
      <c r="D79" s="1667" t="s">
        <v>48</v>
      </c>
      <c r="E79" s="1668">
        <v>5502.15</v>
      </c>
      <c r="F79" s="1669">
        <v>5.05</v>
      </c>
      <c r="G79" s="1755">
        <v>5.1100000000000003</v>
      </c>
      <c r="H79" s="1670">
        <f t="shared" si="5"/>
        <v>27785.86</v>
      </c>
      <c r="I79" s="1670">
        <f t="shared" si="6"/>
        <v>28115.99</v>
      </c>
      <c r="J79" s="1671">
        <v>3078.3244</v>
      </c>
      <c r="K79" s="1671">
        <v>15730.237684000002</v>
      </c>
      <c r="L79" s="1895"/>
      <c r="M79" s="1673">
        <f t="shared" si="7"/>
        <v>0</v>
      </c>
      <c r="N79" s="1674">
        <f t="shared" si="2"/>
        <v>3078.3244</v>
      </c>
      <c r="O79" s="1675">
        <f t="shared" si="8"/>
        <v>15730.237684000002</v>
      </c>
      <c r="P79" s="1676">
        <f t="shared" si="9"/>
        <v>0.5594765713033758</v>
      </c>
      <c r="Q79" s="1677">
        <f t="shared" si="10"/>
        <v>2423.8255999999997</v>
      </c>
      <c r="R79" s="1678">
        <f t="shared" si="11"/>
        <v>12385.75</v>
      </c>
      <c r="S79" s="1679">
        <f t="shared" si="12"/>
        <v>0.44052334632356888</v>
      </c>
      <c r="T79" s="1423"/>
      <c r="U79" s="1423"/>
      <c r="V79" s="1423"/>
      <c r="W79" s="1434"/>
    </row>
    <row r="80" spans="1:23" s="1417" customFormat="1" ht="13.8">
      <c r="A80" s="1416"/>
      <c r="B80" s="1752" t="s">
        <v>3805</v>
      </c>
      <c r="C80" s="1746" t="s">
        <v>2993</v>
      </c>
      <c r="D80" s="1667"/>
      <c r="E80" s="1668"/>
      <c r="F80" s="1669"/>
      <c r="G80" s="1755"/>
      <c r="H80" s="1670">
        <f t="shared" si="5"/>
        <v>0</v>
      </c>
      <c r="I80" s="1670">
        <f t="shared" si="6"/>
        <v>0</v>
      </c>
      <c r="J80" s="1671"/>
      <c r="K80" s="1671">
        <v>0</v>
      </c>
      <c r="L80" s="1895"/>
      <c r="M80" s="1673">
        <f t="shared" si="7"/>
        <v>0</v>
      </c>
      <c r="N80" s="1674"/>
      <c r="O80" s="1675">
        <f t="shared" si="8"/>
        <v>0</v>
      </c>
      <c r="P80" s="1676" t="str">
        <f t="shared" si="9"/>
        <v/>
      </c>
      <c r="Q80" s="1677"/>
      <c r="R80" s="1678">
        <f t="shared" si="11"/>
        <v>0</v>
      </c>
      <c r="S80" s="1679" t="str">
        <f t="shared" si="12"/>
        <v/>
      </c>
      <c r="T80" s="1423"/>
      <c r="U80" s="1423"/>
      <c r="V80" s="1423"/>
      <c r="W80" s="1434"/>
    </row>
    <row r="81" spans="1:23" s="1417" customFormat="1" ht="13.8">
      <c r="A81" s="1429"/>
      <c r="B81" s="1654" t="s">
        <v>3806</v>
      </c>
      <c r="C81" s="1666" t="s">
        <v>2994</v>
      </c>
      <c r="D81" s="1667" t="s">
        <v>40</v>
      </c>
      <c r="E81" s="1668">
        <v>5.5</v>
      </c>
      <c r="F81" s="1669">
        <v>563.97</v>
      </c>
      <c r="G81" s="1755">
        <v>575.34</v>
      </c>
      <c r="H81" s="1670">
        <f t="shared" si="5"/>
        <v>3101.84</v>
      </c>
      <c r="I81" s="1670">
        <f t="shared" si="6"/>
        <v>3164.37</v>
      </c>
      <c r="J81" s="1671">
        <v>5.5</v>
      </c>
      <c r="K81" s="1671">
        <v>3164.3700000000003</v>
      </c>
      <c r="L81" s="1895"/>
      <c r="M81" s="1673">
        <f t="shared" si="7"/>
        <v>0</v>
      </c>
      <c r="N81" s="1674">
        <f t="shared" ref="N81:N143" si="13">J81+L81</f>
        <v>5.5</v>
      </c>
      <c r="O81" s="1675">
        <f t="shared" si="8"/>
        <v>3164.3700000000003</v>
      </c>
      <c r="P81" s="1676">
        <f t="shared" si="9"/>
        <v>1.0000000000000002</v>
      </c>
      <c r="Q81" s="1677">
        <f t="shared" ref="Q81:Q143" si="14">E81-N81</f>
        <v>0</v>
      </c>
      <c r="R81" s="1678">
        <f t="shared" si="11"/>
        <v>0</v>
      </c>
      <c r="S81" s="1679">
        <f t="shared" si="12"/>
        <v>0</v>
      </c>
      <c r="T81" s="1423"/>
      <c r="U81" s="1423"/>
      <c r="V81" s="1423"/>
      <c r="W81" s="1434"/>
    </row>
    <row r="82" spans="1:23" s="1417" customFormat="1" ht="13.8">
      <c r="B82" s="1654" t="s">
        <v>3807</v>
      </c>
      <c r="C82" s="1666" t="s">
        <v>2995</v>
      </c>
      <c r="D82" s="1667" t="s">
        <v>37</v>
      </c>
      <c r="E82" s="1668">
        <v>139.63999999999999</v>
      </c>
      <c r="F82" s="1669">
        <v>75.03</v>
      </c>
      <c r="G82" s="1755">
        <v>76.75</v>
      </c>
      <c r="H82" s="1670">
        <f t="shared" ref="H82:H145" si="15">ROUND(E82*F82,2)</f>
        <v>10477.19</v>
      </c>
      <c r="I82" s="1670">
        <f t="shared" ref="I82:I145" si="16">ROUND(E82*G82,2)</f>
        <v>10717.37</v>
      </c>
      <c r="J82" s="1671">
        <v>46.83</v>
      </c>
      <c r="K82" s="1671">
        <v>3594.2024999999999</v>
      </c>
      <c r="L82" s="1895"/>
      <c r="M82" s="1673">
        <f t="shared" ref="M82:M145" si="17">+L82*G82</f>
        <v>0</v>
      </c>
      <c r="N82" s="1674">
        <f t="shared" si="13"/>
        <v>46.83</v>
      </c>
      <c r="O82" s="1675">
        <f t="shared" ref="O82:O145" si="18">N82*G82</f>
        <v>3594.2024999999999</v>
      </c>
      <c r="P82" s="1676">
        <f t="shared" ref="P82:P145" si="19">+IF(D82=0,"",O82/I82)</f>
        <v>0.33536236035519906</v>
      </c>
      <c r="Q82" s="1677">
        <f t="shared" si="14"/>
        <v>92.809999999999988</v>
      </c>
      <c r="R82" s="1678">
        <f t="shared" ref="R82:R145" si="20">ROUND((Q82*G82),2)</f>
        <v>7123.17</v>
      </c>
      <c r="S82" s="1679">
        <f t="shared" ref="S82:S145" si="21">+IF(I82=0,"",R82/I82)</f>
        <v>0.66463787291098464</v>
      </c>
      <c r="T82" s="1423"/>
      <c r="U82" s="1423"/>
      <c r="V82" s="1423"/>
      <c r="W82" s="1434"/>
    </row>
    <row r="83" spans="1:23" s="1417" customFormat="1" ht="13.8">
      <c r="A83" s="1416"/>
      <c r="B83" s="1654" t="s">
        <v>3808</v>
      </c>
      <c r="C83" s="1666" t="s">
        <v>2996</v>
      </c>
      <c r="D83" s="1667" t="s">
        <v>48</v>
      </c>
      <c r="E83" s="1668">
        <v>562.04</v>
      </c>
      <c r="F83" s="1669">
        <v>5.05</v>
      </c>
      <c r="G83" s="1755">
        <v>5.1100000000000003</v>
      </c>
      <c r="H83" s="1670">
        <f t="shared" si="15"/>
        <v>2838.3</v>
      </c>
      <c r="I83" s="1670">
        <f t="shared" si="16"/>
        <v>2872.02</v>
      </c>
      <c r="J83" s="1671">
        <v>562.04</v>
      </c>
      <c r="K83" s="1671">
        <v>2872.0243999999998</v>
      </c>
      <c r="L83" s="1895"/>
      <c r="M83" s="1673">
        <f t="shared" si="17"/>
        <v>0</v>
      </c>
      <c r="N83" s="1674">
        <f t="shared" si="13"/>
        <v>562.04</v>
      </c>
      <c r="O83" s="1675">
        <f t="shared" si="18"/>
        <v>2872.0243999999998</v>
      </c>
      <c r="P83" s="1676">
        <f t="shared" si="19"/>
        <v>1.0000015320227575</v>
      </c>
      <c r="Q83" s="1677">
        <f t="shared" si="14"/>
        <v>0</v>
      </c>
      <c r="R83" s="1678">
        <f t="shared" si="20"/>
        <v>0</v>
      </c>
      <c r="S83" s="1679">
        <f t="shared" si="21"/>
        <v>0</v>
      </c>
      <c r="T83" s="1423"/>
      <c r="U83" s="1423"/>
      <c r="V83" s="1423"/>
      <c r="W83" s="1434"/>
    </row>
    <row r="84" spans="1:23" s="1417" customFormat="1" ht="13.8">
      <c r="A84" s="1429"/>
      <c r="B84" s="1752" t="s">
        <v>3809</v>
      </c>
      <c r="C84" s="1746" t="s">
        <v>2997</v>
      </c>
      <c r="D84" s="1667"/>
      <c r="E84" s="1668"/>
      <c r="F84" s="1669"/>
      <c r="G84" s="1755"/>
      <c r="H84" s="1670">
        <f t="shared" si="15"/>
        <v>0</v>
      </c>
      <c r="I84" s="1670">
        <f t="shared" si="16"/>
        <v>0</v>
      </c>
      <c r="J84" s="1671"/>
      <c r="K84" s="1671">
        <v>0</v>
      </c>
      <c r="L84" s="1895"/>
      <c r="M84" s="1673">
        <f t="shared" si="17"/>
        <v>0</v>
      </c>
      <c r="N84" s="1674"/>
      <c r="O84" s="1675">
        <f t="shared" si="18"/>
        <v>0</v>
      </c>
      <c r="P84" s="1676" t="str">
        <f t="shared" si="19"/>
        <v/>
      </c>
      <c r="Q84" s="1677"/>
      <c r="R84" s="1678">
        <f t="shared" si="20"/>
        <v>0</v>
      </c>
      <c r="S84" s="1679" t="str">
        <f t="shared" si="21"/>
        <v/>
      </c>
      <c r="T84" s="1423"/>
      <c r="U84" s="1423"/>
      <c r="V84" s="1423"/>
      <c r="W84" s="1434"/>
    </row>
    <row r="85" spans="1:23" s="1417" customFormat="1" ht="13.8">
      <c r="B85" s="1654" t="s">
        <v>3810</v>
      </c>
      <c r="C85" s="1666" t="s">
        <v>3811</v>
      </c>
      <c r="D85" s="1667" t="s">
        <v>40</v>
      </c>
      <c r="E85" s="1668">
        <v>1.38</v>
      </c>
      <c r="F85" s="1669">
        <v>411.38</v>
      </c>
      <c r="G85" s="1755">
        <v>417.07</v>
      </c>
      <c r="H85" s="1670">
        <f t="shared" si="15"/>
        <v>567.70000000000005</v>
      </c>
      <c r="I85" s="1670">
        <f t="shared" si="16"/>
        <v>575.55999999999995</v>
      </c>
      <c r="J85" s="1671">
        <v>1.38</v>
      </c>
      <c r="K85" s="1671">
        <v>575.55659999999989</v>
      </c>
      <c r="L85" s="1895"/>
      <c r="M85" s="1673">
        <f t="shared" si="17"/>
        <v>0</v>
      </c>
      <c r="N85" s="1674">
        <f t="shared" si="13"/>
        <v>1.38</v>
      </c>
      <c r="O85" s="1675">
        <f t="shared" si="18"/>
        <v>575.55659999999989</v>
      </c>
      <c r="P85" s="1676">
        <f t="shared" si="19"/>
        <v>0.99999409270970874</v>
      </c>
      <c r="Q85" s="1677">
        <f t="shared" si="14"/>
        <v>0</v>
      </c>
      <c r="R85" s="1678">
        <f t="shared" si="20"/>
        <v>0</v>
      </c>
      <c r="S85" s="1679">
        <f t="shared" si="21"/>
        <v>0</v>
      </c>
      <c r="T85" s="1423"/>
      <c r="U85" s="1423"/>
      <c r="V85" s="1423"/>
      <c r="W85" s="1434"/>
    </row>
    <row r="86" spans="1:23" s="1417" customFormat="1" ht="13.8">
      <c r="A86" s="1429"/>
      <c r="B86" s="1654" t="s">
        <v>3812</v>
      </c>
      <c r="C86" s="1666" t="s">
        <v>2998</v>
      </c>
      <c r="D86" s="1667" t="s">
        <v>37</v>
      </c>
      <c r="E86" s="1668">
        <v>17.66</v>
      </c>
      <c r="F86" s="1669">
        <v>88.92</v>
      </c>
      <c r="G86" s="1755">
        <v>90.83</v>
      </c>
      <c r="H86" s="1670">
        <f t="shared" si="15"/>
        <v>1570.33</v>
      </c>
      <c r="I86" s="1670">
        <f t="shared" si="16"/>
        <v>1604.06</v>
      </c>
      <c r="J86" s="1671">
        <v>11.537699999999898</v>
      </c>
      <c r="K86" s="1671">
        <v>1047.9692909999908</v>
      </c>
      <c r="L86" s="1895"/>
      <c r="M86" s="1673">
        <f t="shared" si="17"/>
        <v>0</v>
      </c>
      <c r="N86" s="1674">
        <f t="shared" si="13"/>
        <v>11.537699999999898</v>
      </c>
      <c r="O86" s="1675">
        <f t="shared" si="18"/>
        <v>1047.9692909999908</v>
      </c>
      <c r="P86" s="1676">
        <f t="shared" si="19"/>
        <v>0.65332299976309538</v>
      </c>
      <c r="Q86" s="1677">
        <f t="shared" si="14"/>
        <v>6.1223000000001022</v>
      </c>
      <c r="R86" s="1678">
        <f t="shared" si="20"/>
        <v>556.09</v>
      </c>
      <c r="S86" s="1679">
        <f t="shared" si="21"/>
        <v>0.34667655823348259</v>
      </c>
      <c r="T86" s="1423"/>
      <c r="U86" s="1423"/>
      <c r="V86" s="1423"/>
      <c r="W86" s="1434"/>
    </row>
    <row r="87" spans="1:23" s="1417" customFormat="1" ht="13.8">
      <c r="A87" s="1429"/>
      <c r="B87" s="1654" t="s">
        <v>3813</v>
      </c>
      <c r="C87" s="1666" t="s">
        <v>2999</v>
      </c>
      <c r="D87" s="1667" t="s">
        <v>48</v>
      </c>
      <c r="E87" s="1668">
        <v>358.85</v>
      </c>
      <c r="F87" s="1669">
        <v>5.05</v>
      </c>
      <c r="G87" s="1755">
        <v>5.1100000000000003</v>
      </c>
      <c r="H87" s="1670">
        <f t="shared" si="15"/>
        <v>1812.19</v>
      </c>
      <c r="I87" s="1670">
        <f t="shared" si="16"/>
        <v>1833.72</v>
      </c>
      <c r="J87" s="1671">
        <v>358.85</v>
      </c>
      <c r="K87" s="1671">
        <v>1833.7235000000003</v>
      </c>
      <c r="L87" s="1895"/>
      <c r="M87" s="1673">
        <f t="shared" si="17"/>
        <v>0</v>
      </c>
      <c r="N87" s="1674">
        <f t="shared" si="13"/>
        <v>358.85</v>
      </c>
      <c r="O87" s="1675">
        <f t="shared" si="18"/>
        <v>1833.7235000000003</v>
      </c>
      <c r="P87" s="1676">
        <f t="shared" si="19"/>
        <v>1.0000019086883496</v>
      </c>
      <c r="Q87" s="1677">
        <f t="shared" si="14"/>
        <v>0</v>
      </c>
      <c r="R87" s="1678">
        <f t="shared" si="20"/>
        <v>0</v>
      </c>
      <c r="S87" s="1679">
        <f t="shared" si="21"/>
        <v>0</v>
      </c>
      <c r="T87" s="1423"/>
      <c r="U87" s="1423"/>
      <c r="V87" s="1423"/>
      <c r="W87" s="1434"/>
    </row>
    <row r="88" spans="1:23" s="1417" customFormat="1" ht="13.8">
      <c r="B88" s="1752" t="s">
        <v>3814</v>
      </c>
      <c r="C88" s="1746" t="s">
        <v>3023</v>
      </c>
      <c r="D88" s="1667"/>
      <c r="E88" s="1668"/>
      <c r="F88" s="1669"/>
      <c r="G88" s="1755"/>
      <c r="H88" s="1670"/>
      <c r="I88" s="1670"/>
      <c r="J88" s="1671"/>
      <c r="K88" s="1671"/>
      <c r="L88" s="1895"/>
      <c r="M88" s="1673"/>
      <c r="N88" s="1674"/>
      <c r="O88" s="1675"/>
      <c r="P88" s="1676"/>
      <c r="Q88" s="1677"/>
      <c r="R88" s="1678"/>
      <c r="S88" s="1679"/>
      <c r="T88" s="1423"/>
      <c r="U88" s="1423"/>
      <c r="V88" s="1423"/>
      <c r="W88" s="1434"/>
    </row>
    <row r="89" spans="1:23" s="1417" customFormat="1" ht="27.6">
      <c r="A89" s="1416"/>
      <c r="B89" s="1654" t="s">
        <v>3815</v>
      </c>
      <c r="C89" s="1666" t="s">
        <v>3024</v>
      </c>
      <c r="D89" s="1667" t="s">
        <v>2828</v>
      </c>
      <c r="E89" s="1668">
        <v>5</v>
      </c>
      <c r="F89" s="1669">
        <v>998.14</v>
      </c>
      <c r="G89" s="1755">
        <v>1003.91</v>
      </c>
      <c r="H89" s="1670">
        <f t="shared" si="15"/>
        <v>4990.7</v>
      </c>
      <c r="I89" s="1670">
        <f t="shared" si="16"/>
        <v>5019.55</v>
      </c>
      <c r="J89" s="1671">
        <v>5</v>
      </c>
      <c r="K89" s="1671">
        <v>5019.55</v>
      </c>
      <c r="L89" s="1895"/>
      <c r="M89" s="1673">
        <f t="shared" si="17"/>
        <v>0</v>
      </c>
      <c r="N89" s="1674">
        <f t="shared" si="13"/>
        <v>5</v>
      </c>
      <c r="O89" s="1675">
        <f t="shared" si="18"/>
        <v>5019.55</v>
      </c>
      <c r="P89" s="1676">
        <f t="shared" si="19"/>
        <v>1</v>
      </c>
      <c r="Q89" s="1677">
        <f t="shared" si="14"/>
        <v>0</v>
      </c>
      <c r="R89" s="1678">
        <f t="shared" si="20"/>
        <v>0</v>
      </c>
      <c r="S89" s="1679">
        <f t="shared" si="21"/>
        <v>0</v>
      </c>
      <c r="T89" s="1423"/>
      <c r="U89" s="1423"/>
      <c r="V89" s="1423"/>
      <c r="W89" s="1434"/>
    </row>
    <row r="90" spans="1:23" s="1417" customFormat="1" ht="13.8">
      <c r="A90" s="1429"/>
      <c r="B90" s="2129" t="s">
        <v>42</v>
      </c>
      <c r="C90" s="2131" t="s">
        <v>1234</v>
      </c>
      <c r="D90" s="1667"/>
      <c r="E90" s="1668"/>
      <c r="F90" s="1669"/>
      <c r="G90" s="1755"/>
      <c r="H90" s="1670">
        <f t="shared" si="15"/>
        <v>0</v>
      </c>
      <c r="I90" s="1670"/>
      <c r="J90" s="1671"/>
      <c r="K90" s="1671"/>
      <c r="L90" s="1895"/>
      <c r="M90" s="1673"/>
      <c r="N90" s="1674"/>
      <c r="O90" s="1675"/>
      <c r="P90" s="1676"/>
      <c r="Q90" s="1677"/>
      <c r="R90" s="1678"/>
      <c r="S90" s="1679"/>
      <c r="T90" s="1423"/>
      <c r="U90" s="1423"/>
      <c r="V90" s="1423"/>
      <c r="W90" s="1434"/>
    </row>
    <row r="91" spans="1:23" s="1417" customFormat="1" ht="13.8">
      <c r="B91" s="1752" t="s">
        <v>43</v>
      </c>
      <c r="C91" s="1746" t="s">
        <v>3073</v>
      </c>
      <c r="D91" s="1667"/>
      <c r="E91" s="1668"/>
      <c r="F91" s="1669"/>
      <c r="G91" s="1755"/>
      <c r="H91" s="1670">
        <f t="shared" si="15"/>
        <v>0</v>
      </c>
      <c r="I91" s="1670"/>
      <c r="J91" s="1671"/>
      <c r="K91" s="1671"/>
      <c r="L91" s="1895"/>
      <c r="M91" s="1673"/>
      <c r="N91" s="1674"/>
      <c r="O91" s="1675"/>
      <c r="P91" s="1676"/>
      <c r="Q91" s="1677"/>
      <c r="R91" s="1678"/>
      <c r="S91" s="1679"/>
      <c r="T91" s="1423"/>
      <c r="U91" s="1423"/>
      <c r="V91" s="1423"/>
      <c r="W91" s="1434"/>
    </row>
    <row r="92" spans="1:23" s="1417" customFormat="1" ht="13.8">
      <c r="A92" s="1416"/>
      <c r="B92" s="1654" t="s">
        <v>53</v>
      </c>
      <c r="C92" s="1666" t="s">
        <v>3816</v>
      </c>
      <c r="D92" s="1667" t="s">
        <v>37</v>
      </c>
      <c r="E92" s="1668">
        <v>315.95999999999998</v>
      </c>
      <c r="F92" s="1669">
        <v>168.84</v>
      </c>
      <c r="G92" s="1755">
        <v>170.54</v>
      </c>
      <c r="H92" s="1670">
        <f t="shared" si="15"/>
        <v>53346.69</v>
      </c>
      <c r="I92" s="1670">
        <f t="shared" si="16"/>
        <v>53883.82</v>
      </c>
      <c r="J92" s="1671">
        <v>89.858000000000004</v>
      </c>
      <c r="K92" s="1671">
        <v>15324.383320000001</v>
      </c>
      <c r="L92" s="1895"/>
      <c r="M92" s="1673">
        <f t="shared" si="17"/>
        <v>0</v>
      </c>
      <c r="N92" s="1674">
        <f t="shared" si="13"/>
        <v>89.858000000000004</v>
      </c>
      <c r="O92" s="1675">
        <f t="shared" si="18"/>
        <v>15324.383320000001</v>
      </c>
      <c r="P92" s="1676">
        <f t="shared" si="19"/>
        <v>0.28439675063868897</v>
      </c>
      <c r="Q92" s="1677">
        <f t="shared" si="14"/>
        <v>226.10199999999998</v>
      </c>
      <c r="R92" s="1678">
        <f t="shared" si="20"/>
        <v>38559.440000000002</v>
      </c>
      <c r="S92" s="1679">
        <f t="shared" si="21"/>
        <v>0.71560331097535401</v>
      </c>
      <c r="T92" s="1423"/>
      <c r="U92" s="1423"/>
      <c r="V92" s="1423"/>
      <c r="W92" s="1434"/>
    </row>
    <row r="93" spans="1:23" s="1417" customFormat="1" ht="13.8">
      <c r="A93" s="1429"/>
      <c r="B93" s="1654" t="s">
        <v>564</v>
      </c>
      <c r="C93" s="1666" t="s">
        <v>3817</v>
      </c>
      <c r="D93" s="1667" t="s">
        <v>37</v>
      </c>
      <c r="E93" s="1668">
        <v>153.54</v>
      </c>
      <c r="F93" s="1669">
        <v>99.19</v>
      </c>
      <c r="G93" s="1755">
        <v>100.36</v>
      </c>
      <c r="H93" s="1670">
        <f t="shared" si="15"/>
        <v>15229.63</v>
      </c>
      <c r="I93" s="1670">
        <f t="shared" si="16"/>
        <v>15409.27</v>
      </c>
      <c r="J93" s="1671">
        <v>153.54</v>
      </c>
      <c r="K93" s="1671">
        <v>15409.274399999998</v>
      </c>
      <c r="L93" s="1895"/>
      <c r="M93" s="1673">
        <f t="shared" si="17"/>
        <v>0</v>
      </c>
      <c r="N93" s="1674">
        <f t="shared" si="13"/>
        <v>153.54</v>
      </c>
      <c r="O93" s="1675">
        <f t="shared" si="18"/>
        <v>15409.274399999998</v>
      </c>
      <c r="P93" s="1676">
        <f t="shared" si="19"/>
        <v>1.0000002855424039</v>
      </c>
      <c r="Q93" s="1677">
        <f t="shared" si="14"/>
        <v>0</v>
      </c>
      <c r="R93" s="1678">
        <f t="shared" si="20"/>
        <v>0</v>
      </c>
      <c r="S93" s="1679">
        <f t="shared" si="21"/>
        <v>0</v>
      </c>
      <c r="T93" s="1423"/>
      <c r="U93" s="1423"/>
      <c r="V93" s="1423"/>
      <c r="W93" s="1434"/>
    </row>
    <row r="94" spans="1:23" s="1417" customFormat="1" ht="13.8">
      <c r="B94" s="1654" t="s">
        <v>571</v>
      </c>
      <c r="C94" s="1666" t="s">
        <v>3818</v>
      </c>
      <c r="D94" s="1667" t="s">
        <v>37</v>
      </c>
      <c r="E94" s="1668">
        <v>69.52</v>
      </c>
      <c r="F94" s="1669">
        <v>87.22</v>
      </c>
      <c r="G94" s="1755">
        <v>88.75</v>
      </c>
      <c r="H94" s="1670">
        <f t="shared" si="15"/>
        <v>6063.53</v>
      </c>
      <c r="I94" s="1670">
        <f t="shared" si="16"/>
        <v>6169.9</v>
      </c>
      <c r="J94" s="1671">
        <v>0</v>
      </c>
      <c r="K94" s="1671">
        <v>0</v>
      </c>
      <c r="L94" s="1895"/>
      <c r="M94" s="1673">
        <f t="shared" si="17"/>
        <v>0</v>
      </c>
      <c r="N94" s="1674">
        <f t="shared" si="13"/>
        <v>0</v>
      </c>
      <c r="O94" s="1675">
        <f t="shared" si="18"/>
        <v>0</v>
      </c>
      <c r="P94" s="1676">
        <f t="shared" si="19"/>
        <v>0</v>
      </c>
      <c r="Q94" s="1677">
        <f t="shared" si="14"/>
        <v>69.52</v>
      </c>
      <c r="R94" s="1678">
        <f t="shared" si="20"/>
        <v>6169.9</v>
      </c>
      <c r="S94" s="1679">
        <f t="shared" si="21"/>
        <v>1</v>
      </c>
      <c r="T94" s="1423"/>
      <c r="U94" s="1423"/>
      <c r="V94" s="1423"/>
      <c r="W94" s="1434"/>
    </row>
    <row r="95" spans="1:23" s="1417" customFormat="1" ht="13.8">
      <c r="A95" s="1429"/>
      <c r="B95" s="1752" t="s">
        <v>44</v>
      </c>
      <c r="C95" s="1746" t="s">
        <v>3081</v>
      </c>
      <c r="D95" s="1667"/>
      <c r="E95" s="1668"/>
      <c r="F95" s="1669"/>
      <c r="G95" s="1755"/>
      <c r="H95" s="1670">
        <f t="shared" si="15"/>
        <v>0</v>
      </c>
      <c r="I95" s="1670">
        <f t="shared" si="16"/>
        <v>0</v>
      </c>
      <c r="J95" s="1671"/>
      <c r="K95" s="1671">
        <v>0</v>
      </c>
      <c r="L95" s="1895"/>
      <c r="M95" s="1673">
        <f t="shared" si="17"/>
        <v>0</v>
      </c>
      <c r="N95" s="1674"/>
      <c r="O95" s="1675">
        <f t="shared" si="18"/>
        <v>0</v>
      </c>
      <c r="P95" s="1676" t="str">
        <f t="shared" si="19"/>
        <v/>
      </c>
      <c r="Q95" s="1677"/>
      <c r="R95" s="1678">
        <f t="shared" si="20"/>
        <v>0</v>
      </c>
      <c r="S95" s="1679" t="str">
        <f t="shared" si="21"/>
        <v/>
      </c>
      <c r="T95" s="1423"/>
      <c r="U95" s="1423"/>
      <c r="V95" s="1423"/>
      <c r="W95" s="1434"/>
    </row>
    <row r="96" spans="1:23" s="1417" customFormat="1" ht="13.8">
      <c r="A96" s="1429"/>
      <c r="B96" s="1654" t="s">
        <v>54</v>
      </c>
      <c r="C96" s="1666" t="s">
        <v>3082</v>
      </c>
      <c r="D96" s="1667" t="s">
        <v>37</v>
      </c>
      <c r="E96" s="1668">
        <v>126.71</v>
      </c>
      <c r="F96" s="1669">
        <v>22.42</v>
      </c>
      <c r="G96" s="1755">
        <v>23.12</v>
      </c>
      <c r="H96" s="1670">
        <f t="shared" si="15"/>
        <v>2840.84</v>
      </c>
      <c r="I96" s="1670">
        <f t="shared" si="16"/>
        <v>2929.54</v>
      </c>
      <c r="J96" s="1671">
        <v>0</v>
      </c>
      <c r="K96" s="1671">
        <v>0</v>
      </c>
      <c r="L96" s="1895">
        <f>+'[31]RESUMEN DE METRADOS '!$H$12</f>
        <v>11.975899999999996</v>
      </c>
      <c r="M96" s="1673">
        <f t="shared" si="17"/>
        <v>276.8828079999999</v>
      </c>
      <c r="N96" s="1674">
        <f t="shared" si="13"/>
        <v>11.975899999999996</v>
      </c>
      <c r="O96" s="1675">
        <f t="shared" si="18"/>
        <v>276.8828079999999</v>
      </c>
      <c r="P96" s="1676">
        <f t="shared" si="19"/>
        <v>9.4514090266731257E-2</v>
      </c>
      <c r="Q96" s="1677">
        <f t="shared" si="14"/>
        <v>114.7341</v>
      </c>
      <c r="R96" s="1678">
        <f t="shared" si="20"/>
        <v>2652.65</v>
      </c>
      <c r="S96" s="1679">
        <f t="shared" si="21"/>
        <v>0.90548345474033465</v>
      </c>
      <c r="T96" s="1423"/>
      <c r="U96" s="1423"/>
      <c r="V96" s="1423"/>
      <c r="W96" s="1434"/>
    </row>
    <row r="97" spans="1:23" s="1417" customFormat="1" ht="27.6">
      <c r="B97" s="1654" t="s">
        <v>55</v>
      </c>
      <c r="C97" s="1666" t="s">
        <v>3819</v>
      </c>
      <c r="D97" s="1667" t="s">
        <v>37</v>
      </c>
      <c r="E97" s="1668">
        <v>793.88</v>
      </c>
      <c r="F97" s="1669">
        <v>23.79</v>
      </c>
      <c r="G97" s="1755">
        <v>24.52</v>
      </c>
      <c r="H97" s="1670">
        <f t="shared" si="15"/>
        <v>18886.41</v>
      </c>
      <c r="I97" s="1670">
        <f t="shared" si="16"/>
        <v>19465.939999999999</v>
      </c>
      <c r="J97" s="1671">
        <v>321.04379999999969</v>
      </c>
      <c r="K97" s="1671">
        <v>7871.9939759999925</v>
      </c>
      <c r="L97" s="1895">
        <f>+'[31]RESUMEN DE METRADOS '!$H$13</f>
        <v>248.53750000000002</v>
      </c>
      <c r="M97" s="1673">
        <f t="shared" si="17"/>
        <v>6094.1395000000002</v>
      </c>
      <c r="N97" s="1674">
        <f t="shared" si="13"/>
        <v>569.58129999999971</v>
      </c>
      <c r="O97" s="1675">
        <f t="shared" si="18"/>
        <v>13966.133475999994</v>
      </c>
      <c r="P97" s="1676">
        <f t="shared" si="19"/>
        <v>0.71746514558248897</v>
      </c>
      <c r="Q97" s="1677">
        <f t="shared" si="14"/>
        <v>224.29870000000028</v>
      </c>
      <c r="R97" s="1678">
        <f t="shared" si="20"/>
        <v>5499.8</v>
      </c>
      <c r="S97" s="1679">
        <f t="shared" si="21"/>
        <v>0.28253451926801382</v>
      </c>
      <c r="T97" s="1423"/>
      <c r="U97" s="1423"/>
      <c r="V97" s="1423"/>
      <c r="W97" s="1434"/>
    </row>
    <row r="98" spans="1:23" s="1417" customFormat="1" ht="27.6">
      <c r="A98" s="1416"/>
      <c r="B98" s="1654" t="s">
        <v>616</v>
      </c>
      <c r="C98" s="1666" t="s">
        <v>3820</v>
      </c>
      <c r="D98" s="1667" t="s">
        <v>37</v>
      </c>
      <c r="E98" s="1668">
        <v>677.13</v>
      </c>
      <c r="F98" s="1669">
        <v>26.7</v>
      </c>
      <c r="G98" s="1755">
        <v>27.55</v>
      </c>
      <c r="H98" s="1670">
        <f t="shared" si="15"/>
        <v>18079.37</v>
      </c>
      <c r="I98" s="1670">
        <f t="shared" si="16"/>
        <v>18654.93</v>
      </c>
      <c r="J98" s="1671">
        <v>274.30729999999994</v>
      </c>
      <c r="K98" s="1671">
        <v>7557.1661149999982</v>
      </c>
      <c r="L98" s="1895"/>
      <c r="M98" s="1673">
        <f t="shared" si="17"/>
        <v>0</v>
      </c>
      <c r="N98" s="1674">
        <f t="shared" si="13"/>
        <v>274.30729999999994</v>
      </c>
      <c r="O98" s="1675">
        <f t="shared" si="18"/>
        <v>7557.1661149999982</v>
      </c>
      <c r="P98" s="1676">
        <f t="shared" si="19"/>
        <v>0.40510289317622733</v>
      </c>
      <c r="Q98" s="1677">
        <f t="shared" si="14"/>
        <v>402.82270000000005</v>
      </c>
      <c r="R98" s="1678">
        <f t="shared" si="20"/>
        <v>11097.77</v>
      </c>
      <c r="S98" s="1679">
        <f t="shared" si="21"/>
        <v>0.59489743461915967</v>
      </c>
      <c r="T98" s="1423"/>
      <c r="U98" s="1423"/>
      <c r="V98" s="1423"/>
      <c r="W98" s="1434"/>
    </row>
    <row r="99" spans="1:23" s="1417" customFormat="1" ht="27.6">
      <c r="A99" s="1429"/>
      <c r="B99" s="1654" t="s">
        <v>645</v>
      </c>
      <c r="C99" s="1666" t="s">
        <v>3821</v>
      </c>
      <c r="D99" s="1667" t="s">
        <v>37</v>
      </c>
      <c r="E99" s="1668">
        <v>717.55</v>
      </c>
      <c r="F99" s="1669">
        <v>37.56</v>
      </c>
      <c r="G99" s="1755">
        <v>38.869999999999997</v>
      </c>
      <c r="H99" s="1670">
        <f t="shared" si="15"/>
        <v>26951.18</v>
      </c>
      <c r="I99" s="1670">
        <f t="shared" si="16"/>
        <v>27891.17</v>
      </c>
      <c r="J99" s="1671">
        <v>717.55</v>
      </c>
      <c r="K99" s="1671">
        <v>27891.168499999996</v>
      </c>
      <c r="L99" s="1895"/>
      <c r="M99" s="1673">
        <f t="shared" si="17"/>
        <v>0</v>
      </c>
      <c r="N99" s="1674">
        <f t="shared" si="13"/>
        <v>717.55</v>
      </c>
      <c r="O99" s="1675">
        <f t="shared" si="18"/>
        <v>27891.168499999996</v>
      </c>
      <c r="P99" s="1676">
        <f t="shared" si="19"/>
        <v>0.99999994621953825</v>
      </c>
      <c r="Q99" s="1677">
        <f t="shared" si="14"/>
        <v>0</v>
      </c>
      <c r="R99" s="1678">
        <f t="shared" si="20"/>
        <v>0</v>
      </c>
      <c r="S99" s="1679">
        <f t="shared" si="21"/>
        <v>0</v>
      </c>
      <c r="T99" s="1423" t="s">
        <v>4291</v>
      </c>
      <c r="U99" s="1423"/>
      <c r="V99" s="1423"/>
      <c r="W99" s="1434"/>
    </row>
    <row r="100" spans="1:23" s="1417" customFormat="1" ht="27.6">
      <c r="B100" s="1654" t="s">
        <v>647</v>
      </c>
      <c r="C100" s="1666" t="s">
        <v>3822</v>
      </c>
      <c r="D100" s="1667" t="s">
        <v>37</v>
      </c>
      <c r="E100" s="1668">
        <v>217.77</v>
      </c>
      <c r="F100" s="1669">
        <v>44.92</v>
      </c>
      <c r="G100" s="1755">
        <v>46.54</v>
      </c>
      <c r="H100" s="1670">
        <f t="shared" si="15"/>
        <v>9782.23</v>
      </c>
      <c r="I100" s="1670">
        <f t="shared" si="16"/>
        <v>10135.02</v>
      </c>
      <c r="J100" s="1671">
        <v>0</v>
      </c>
      <c r="K100" s="1671">
        <v>0</v>
      </c>
      <c r="L100" s="1895"/>
      <c r="M100" s="1673">
        <f t="shared" si="17"/>
        <v>0</v>
      </c>
      <c r="N100" s="1674">
        <f t="shared" si="13"/>
        <v>0</v>
      </c>
      <c r="O100" s="1675">
        <f t="shared" si="18"/>
        <v>0</v>
      </c>
      <c r="P100" s="1676">
        <f t="shared" si="19"/>
        <v>0</v>
      </c>
      <c r="Q100" s="1677">
        <f t="shared" si="14"/>
        <v>217.77</v>
      </c>
      <c r="R100" s="1678">
        <f t="shared" si="20"/>
        <v>10135.02</v>
      </c>
      <c r="S100" s="1679">
        <f t="shared" si="21"/>
        <v>1</v>
      </c>
      <c r="T100" s="1423"/>
      <c r="U100" s="1423"/>
      <c r="V100" s="1423"/>
      <c r="W100" s="1434"/>
    </row>
    <row r="101" spans="1:23" s="1417" customFormat="1" ht="27.6">
      <c r="A101" s="1416"/>
      <c r="B101" s="1654" t="s">
        <v>275</v>
      </c>
      <c r="C101" s="1666" t="s">
        <v>3823</v>
      </c>
      <c r="D101" s="1667" t="s">
        <v>37</v>
      </c>
      <c r="E101" s="1668">
        <v>645.05999999999995</v>
      </c>
      <c r="F101" s="1669">
        <v>28.23</v>
      </c>
      <c r="G101" s="1755">
        <v>29.14</v>
      </c>
      <c r="H101" s="1670">
        <f t="shared" si="15"/>
        <v>18210.04</v>
      </c>
      <c r="I101" s="1670">
        <f t="shared" si="16"/>
        <v>18797.05</v>
      </c>
      <c r="J101" s="1671">
        <v>355.00749999999999</v>
      </c>
      <c r="K101" s="1671">
        <v>10344.91855</v>
      </c>
      <c r="L101" s="1895"/>
      <c r="M101" s="1673">
        <f t="shared" si="17"/>
        <v>0</v>
      </c>
      <c r="N101" s="1674">
        <f t="shared" si="13"/>
        <v>355.00749999999999</v>
      </c>
      <c r="O101" s="1675">
        <f t="shared" si="18"/>
        <v>10344.91855</v>
      </c>
      <c r="P101" s="1676">
        <f t="shared" si="19"/>
        <v>0.55034798279517272</v>
      </c>
      <c r="Q101" s="1677">
        <f t="shared" si="14"/>
        <v>290.05249999999995</v>
      </c>
      <c r="R101" s="1678">
        <f t="shared" si="20"/>
        <v>8452.1299999999992</v>
      </c>
      <c r="S101" s="1679">
        <f t="shared" si="21"/>
        <v>0.44965194006506337</v>
      </c>
      <c r="T101" s="1423"/>
      <c r="U101" s="1423"/>
      <c r="V101" s="1423"/>
      <c r="W101" s="1434"/>
    </row>
    <row r="102" spans="1:23" s="1417" customFormat="1" ht="27.6">
      <c r="A102" s="1429"/>
      <c r="B102" s="1654" t="s">
        <v>322</v>
      </c>
      <c r="C102" s="1666" t="s">
        <v>3824</v>
      </c>
      <c r="D102" s="1667" t="s">
        <v>37</v>
      </c>
      <c r="E102" s="1668">
        <v>207.1</v>
      </c>
      <c r="F102" s="1669">
        <v>28.23</v>
      </c>
      <c r="G102" s="1755">
        <v>29.14</v>
      </c>
      <c r="H102" s="1670">
        <f t="shared" si="15"/>
        <v>5846.43</v>
      </c>
      <c r="I102" s="1670">
        <f t="shared" si="16"/>
        <v>6034.89</v>
      </c>
      <c r="J102" s="1671">
        <v>0</v>
      </c>
      <c r="K102" s="1671">
        <v>0</v>
      </c>
      <c r="L102" s="1895"/>
      <c r="M102" s="1673">
        <f t="shared" si="17"/>
        <v>0</v>
      </c>
      <c r="N102" s="1674">
        <f t="shared" si="13"/>
        <v>0</v>
      </c>
      <c r="O102" s="1675">
        <f t="shared" si="18"/>
        <v>0</v>
      </c>
      <c r="P102" s="1676">
        <f t="shared" si="19"/>
        <v>0</v>
      </c>
      <c r="Q102" s="1677">
        <f t="shared" si="14"/>
        <v>207.1</v>
      </c>
      <c r="R102" s="1678">
        <f t="shared" si="20"/>
        <v>6034.89</v>
      </c>
      <c r="S102" s="1679">
        <f t="shared" si="21"/>
        <v>1</v>
      </c>
      <c r="T102" s="1423">
        <v>185.05</v>
      </c>
      <c r="U102" s="1423">
        <v>203.42999999999992</v>
      </c>
      <c r="V102" s="1423">
        <f>+U102-T102</f>
        <v>18.37999999999991</v>
      </c>
      <c r="W102" s="1434"/>
    </row>
    <row r="103" spans="1:23" s="1417" customFormat="1" ht="27.6">
      <c r="B103" s="1654" t="s">
        <v>3825</v>
      </c>
      <c r="C103" s="1666" t="s">
        <v>3826</v>
      </c>
      <c r="D103" s="1667" t="s">
        <v>37</v>
      </c>
      <c r="E103" s="1668">
        <v>44.75</v>
      </c>
      <c r="F103" s="1669">
        <v>39.25</v>
      </c>
      <c r="G103" s="1755">
        <v>40.630000000000003</v>
      </c>
      <c r="H103" s="1670">
        <f t="shared" si="15"/>
        <v>1756.44</v>
      </c>
      <c r="I103" s="1670">
        <f t="shared" si="16"/>
        <v>1818.19</v>
      </c>
      <c r="J103" s="1671">
        <v>0</v>
      </c>
      <c r="K103" s="1671">
        <v>0</v>
      </c>
      <c r="L103" s="1895"/>
      <c r="M103" s="1673">
        <f t="shared" si="17"/>
        <v>0</v>
      </c>
      <c r="N103" s="1674">
        <f t="shared" si="13"/>
        <v>0</v>
      </c>
      <c r="O103" s="1675">
        <f t="shared" si="18"/>
        <v>0</v>
      </c>
      <c r="P103" s="1676">
        <f t="shared" si="19"/>
        <v>0</v>
      </c>
      <c r="Q103" s="1677">
        <f t="shared" si="14"/>
        <v>44.75</v>
      </c>
      <c r="R103" s="1678">
        <f t="shared" si="20"/>
        <v>1818.19</v>
      </c>
      <c r="S103" s="1679">
        <f t="shared" si="21"/>
        <v>1</v>
      </c>
      <c r="T103" s="1423"/>
      <c r="U103" s="1423"/>
      <c r="V103" s="1423"/>
      <c r="W103" s="1434"/>
    </row>
    <row r="104" spans="1:23" s="1417" customFormat="1" ht="27.6">
      <c r="A104" s="1429"/>
      <c r="B104" s="1654" t="s">
        <v>2303</v>
      </c>
      <c r="C104" s="1666" t="s">
        <v>3091</v>
      </c>
      <c r="D104" s="1667" t="s">
        <v>37</v>
      </c>
      <c r="E104" s="1668">
        <v>186</v>
      </c>
      <c r="F104" s="1669">
        <v>39.25</v>
      </c>
      <c r="G104" s="1755">
        <v>40.630000000000003</v>
      </c>
      <c r="H104" s="1670">
        <f t="shared" si="15"/>
        <v>7300.5</v>
      </c>
      <c r="I104" s="1670">
        <f t="shared" si="16"/>
        <v>7557.18</v>
      </c>
      <c r="J104" s="1671">
        <v>176.06</v>
      </c>
      <c r="K104" s="1671">
        <v>7153.3178000000007</v>
      </c>
      <c r="L104" s="1895"/>
      <c r="M104" s="1673">
        <f t="shared" si="17"/>
        <v>0</v>
      </c>
      <c r="N104" s="1674">
        <f t="shared" si="13"/>
        <v>176.06</v>
      </c>
      <c r="O104" s="1675">
        <f t="shared" si="18"/>
        <v>7153.3178000000007</v>
      </c>
      <c r="P104" s="1676">
        <f t="shared" si="19"/>
        <v>0.94655913978494632</v>
      </c>
      <c r="Q104" s="1677">
        <f t="shared" si="14"/>
        <v>9.9399999999999977</v>
      </c>
      <c r="R104" s="1678">
        <f t="shared" si="20"/>
        <v>403.86</v>
      </c>
      <c r="S104" s="1679">
        <f t="shared" si="21"/>
        <v>5.3440569101172661E-2</v>
      </c>
      <c r="T104" s="1423"/>
      <c r="U104" s="1423"/>
      <c r="V104" s="1423"/>
      <c r="W104" s="1434"/>
    </row>
    <row r="105" spans="1:23" s="1417" customFormat="1" ht="27.6">
      <c r="A105" s="1429"/>
      <c r="B105" s="1654" t="s">
        <v>2306</v>
      </c>
      <c r="C105" s="1666" t="s">
        <v>3827</v>
      </c>
      <c r="D105" s="1667" t="s">
        <v>37</v>
      </c>
      <c r="E105" s="1668">
        <v>8.81</v>
      </c>
      <c r="F105" s="1669">
        <v>468.16</v>
      </c>
      <c r="G105" s="1755">
        <v>478.93</v>
      </c>
      <c r="H105" s="1670">
        <f t="shared" si="15"/>
        <v>4124.49</v>
      </c>
      <c r="I105" s="1670">
        <f t="shared" si="16"/>
        <v>4219.37</v>
      </c>
      <c r="J105" s="1671">
        <v>0</v>
      </c>
      <c r="K105" s="1671">
        <v>0</v>
      </c>
      <c r="L105" s="1895">
        <f>+'[31]RESUMEN DE METRADOS '!$H$18</f>
        <v>8.81</v>
      </c>
      <c r="M105" s="1673">
        <f t="shared" si="17"/>
        <v>4219.3733000000002</v>
      </c>
      <c r="N105" s="1674">
        <f t="shared" si="13"/>
        <v>8.81</v>
      </c>
      <c r="O105" s="1675">
        <f t="shared" si="18"/>
        <v>4219.3733000000002</v>
      </c>
      <c r="P105" s="1676">
        <f t="shared" si="19"/>
        <v>1.0000007821072814</v>
      </c>
      <c r="Q105" s="1677">
        <f t="shared" si="14"/>
        <v>0</v>
      </c>
      <c r="R105" s="1678">
        <f t="shared" si="20"/>
        <v>0</v>
      </c>
      <c r="S105" s="1679">
        <f t="shared" si="21"/>
        <v>0</v>
      </c>
      <c r="T105" s="1423"/>
      <c r="U105" s="1423"/>
      <c r="V105" s="1423"/>
      <c r="W105" s="1434"/>
    </row>
    <row r="106" spans="1:23" s="1417" customFormat="1" ht="13.8">
      <c r="B106" s="1654" t="s">
        <v>3828</v>
      </c>
      <c r="C106" s="1666" t="s">
        <v>3099</v>
      </c>
      <c r="D106" s="1667" t="s">
        <v>37</v>
      </c>
      <c r="E106" s="1668">
        <v>4.78</v>
      </c>
      <c r="F106" s="1669">
        <v>517.4</v>
      </c>
      <c r="G106" s="1755">
        <v>528.16999999999996</v>
      </c>
      <c r="H106" s="1670">
        <f t="shared" si="15"/>
        <v>2473.17</v>
      </c>
      <c r="I106" s="1670">
        <f t="shared" si="16"/>
        <v>2524.65</v>
      </c>
      <c r="J106" s="1671">
        <v>0</v>
      </c>
      <c r="K106" s="1671">
        <v>0</v>
      </c>
      <c r="L106" s="1895"/>
      <c r="M106" s="1673">
        <f t="shared" si="17"/>
        <v>0</v>
      </c>
      <c r="N106" s="1674">
        <f t="shared" si="13"/>
        <v>0</v>
      </c>
      <c r="O106" s="1675">
        <f t="shared" si="18"/>
        <v>0</v>
      </c>
      <c r="P106" s="1676">
        <f t="shared" si="19"/>
        <v>0</v>
      </c>
      <c r="Q106" s="1677">
        <f t="shared" si="14"/>
        <v>4.78</v>
      </c>
      <c r="R106" s="1678">
        <f t="shared" si="20"/>
        <v>2524.65</v>
      </c>
      <c r="S106" s="1679">
        <f t="shared" si="21"/>
        <v>1</v>
      </c>
      <c r="T106" s="1423"/>
      <c r="U106" s="1423"/>
      <c r="V106" s="1423"/>
      <c r="W106" s="1434"/>
    </row>
    <row r="107" spans="1:23" s="1417" customFormat="1" ht="13.8">
      <c r="A107" s="1416"/>
      <c r="B107" s="1654" t="s">
        <v>3829</v>
      </c>
      <c r="C107" s="1666" t="s">
        <v>3830</v>
      </c>
      <c r="D107" s="1667" t="s">
        <v>38</v>
      </c>
      <c r="E107" s="1668">
        <v>437.78</v>
      </c>
      <c r="F107" s="1669">
        <v>14.13</v>
      </c>
      <c r="G107" s="1755">
        <v>14.67</v>
      </c>
      <c r="H107" s="1670">
        <f t="shared" si="15"/>
        <v>6185.83</v>
      </c>
      <c r="I107" s="1670">
        <f t="shared" si="16"/>
        <v>6422.23</v>
      </c>
      <c r="J107" s="1671">
        <v>241.2</v>
      </c>
      <c r="K107" s="1671">
        <v>3538.404</v>
      </c>
      <c r="L107" s="1895"/>
      <c r="M107" s="1673">
        <f t="shared" si="17"/>
        <v>0</v>
      </c>
      <c r="N107" s="1674">
        <f t="shared" si="13"/>
        <v>241.2</v>
      </c>
      <c r="O107" s="1675">
        <f t="shared" si="18"/>
        <v>3538.404</v>
      </c>
      <c r="P107" s="1676">
        <f t="shared" si="19"/>
        <v>0.55096189329874523</v>
      </c>
      <c r="Q107" s="1677">
        <f t="shared" si="14"/>
        <v>196.57999999999998</v>
      </c>
      <c r="R107" s="1678">
        <f t="shared" si="20"/>
        <v>2883.83</v>
      </c>
      <c r="S107" s="1679">
        <f t="shared" si="21"/>
        <v>0.44903872953787083</v>
      </c>
      <c r="T107" s="1423"/>
      <c r="U107" s="1423"/>
      <c r="V107" s="1423"/>
      <c r="W107" s="1434"/>
    </row>
    <row r="108" spans="1:23" s="1417" customFormat="1" ht="13.8">
      <c r="A108" s="1429"/>
      <c r="B108" s="1654" t="s">
        <v>3831</v>
      </c>
      <c r="C108" s="1666" t="s">
        <v>3832</v>
      </c>
      <c r="D108" s="1667" t="s">
        <v>38</v>
      </c>
      <c r="E108" s="1668">
        <v>265</v>
      </c>
      <c r="F108" s="1669">
        <v>9.5299999999999994</v>
      </c>
      <c r="G108" s="1755">
        <v>9.92</v>
      </c>
      <c r="H108" s="1670">
        <f t="shared" si="15"/>
        <v>2525.4499999999998</v>
      </c>
      <c r="I108" s="1670">
        <f t="shared" si="16"/>
        <v>2628.8</v>
      </c>
      <c r="J108" s="1671">
        <v>265</v>
      </c>
      <c r="K108" s="1671">
        <v>2628.8</v>
      </c>
      <c r="L108" s="1895"/>
      <c r="M108" s="1673">
        <f t="shared" si="17"/>
        <v>0</v>
      </c>
      <c r="N108" s="1674">
        <f t="shared" si="13"/>
        <v>265</v>
      </c>
      <c r="O108" s="1675">
        <f t="shared" si="18"/>
        <v>2628.8</v>
      </c>
      <c r="P108" s="1676">
        <f t="shared" si="19"/>
        <v>1</v>
      </c>
      <c r="Q108" s="1677">
        <f t="shared" si="14"/>
        <v>0</v>
      </c>
      <c r="R108" s="1678">
        <f t="shared" si="20"/>
        <v>0</v>
      </c>
      <c r="S108" s="1679">
        <f t="shared" si="21"/>
        <v>0</v>
      </c>
      <c r="T108" s="1423"/>
      <c r="U108" s="1423"/>
      <c r="V108" s="1423"/>
      <c r="W108" s="1434"/>
    </row>
    <row r="109" spans="1:23" s="1417" customFormat="1" ht="13.8">
      <c r="B109" s="1752" t="s">
        <v>52</v>
      </c>
      <c r="C109" s="1746" t="s">
        <v>3104</v>
      </c>
      <c r="D109" s="1667"/>
      <c r="E109" s="1668"/>
      <c r="F109" s="1669"/>
      <c r="G109" s="1755"/>
      <c r="H109" s="1670">
        <f t="shared" si="15"/>
        <v>0</v>
      </c>
      <c r="I109" s="1670">
        <f t="shared" si="16"/>
        <v>0</v>
      </c>
      <c r="J109" s="1671"/>
      <c r="K109" s="1671">
        <v>0</v>
      </c>
      <c r="L109" s="1895"/>
      <c r="M109" s="1673">
        <f t="shared" si="17"/>
        <v>0</v>
      </c>
      <c r="N109" s="1674"/>
      <c r="O109" s="1675">
        <f t="shared" si="18"/>
        <v>0</v>
      </c>
      <c r="P109" s="1676" t="str">
        <f t="shared" si="19"/>
        <v/>
      </c>
      <c r="Q109" s="1677"/>
      <c r="R109" s="1678">
        <f t="shared" si="20"/>
        <v>0</v>
      </c>
      <c r="S109" s="1679" t="str">
        <f t="shared" si="21"/>
        <v/>
      </c>
      <c r="T109" s="1423"/>
      <c r="U109" s="1423"/>
      <c r="V109" s="1423"/>
      <c r="W109" s="1434"/>
    </row>
    <row r="110" spans="1:23" s="1417" customFormat="1" ht="13.8">
      <c r="A110" s="1416"/>
      <c r="B110" s="1654" t="s">
        <v>56</v>
      </c>
      <c r="C110" s="1666" t="s">
        <v>3833</v>
      </c>
      <c r="D110" s="1667" t="s">
        <v>37</v>
      </c>
      <c r="E110" s="1668">
        <v>723.7</v>
      </c>
      <c r="F110" s="1669">
        <v>32.53</v>
      </c>
      <c r="G110" s="1755">
        <v>33.630000000000003</v>
      </c>
      <c r="H110" s="1670">
        <f t="shared" si="15"/>
        <v>23541.96</v>
      </c>
      <c r="I110" s="1670">
        <f t="shared" si="16"/>
        <v>24338.03</v>
      </c>
      <c r="J110" s="1671">
        <v>0</v>
      </c>
      <c r="K110" s="1671">
        <v>0</v>
      </c>
      <c r="L110" s="1895"/>
      <c r="M110" s="1673">
        <f t="shared" si="17"/>
        <v>0</v>
      </c>
      <c r="N110" s="1674">
        <f t="shared" si="13"/>
        <v>0</v>
      </c>
      <c r="O110" s="1675">
        <f t="shared" si="18"/>
        <v>0</v>
      </c>
      <c r="P110" s="1676">
        <f t="shared" si="19"/>
        <v>0</v>
      </c>
      <c r="Q110" s="1677">
        <f t="shared" si="14"/>
        <v>723.7</v>
      </c>
      <c r="R110" s="1678">
        <f t="shared" si="20"/>
        <v>24338.03</v>
      </c>
      <c r="S110" s="1679">
        <f t="shared" si="21"/>
        <v>1</v>
      </c>
      <c r="T110" s="1423"/>
      <c r="U110" s="1423"/>
      <c r="V110" s="1423"/>
      <c r="W110" s="1434"/>
    </row>
    <row r="111" spans="1:23" s="1417" customFormat="1" ht="13.8">
      <c r="A111" s="1429"/>
      <c r="B111" s="1752" t="s">
        <v>516</v>
      </c>
      <c r="C111" s="1746" t="s">
        <v>3107</v>
      </c>
      <c r="D111" s="1667"/>
      <c r="E111" s="1668"/>
      <c r="F111" s="1669"/>
      <c r="G111" s="1755"/>
      <c r="H111" s="1670">
        <f t="shared" si="15"/>
        <v>0</v>
      </c>
      <c r="I111" s="1670">
        <f t="shared" si="16"/>
        <v>0</v>
      </c>
      <c r="J111" s="1671"/>
      <c r="K111" s="1671">
        <v>0</v>
      </c>
      <c r="L111" s="1895"/>
      <c r="M111" s="1673">
        <f t="shared" si="17"/>
        <v>0</v>
      </c>
      <c r="N111" s="1674"/>
      <c r="O111" s="1675">
        <f t="shared" si="18"/>
        <v>0</v>
      </c>
      <c r="P111" s="1676" t="str">
        <f t="shared" si="19"/>
        <v/>
      </c>
      <c r="Q111" s="1677"/>
      <c r="R111" s="1678">
        <f t="shared" si="20"/>
        <v>0</v>
      </c>
      <c r="S111" s="1679" t="str">
        <f t="shared" si="21"/>
        <v/>
      </c>
      <c r="T111" s="1423"/>
      <c r="U111" s="1423"/>
      <c r="V111" s="1423"/>
      <c r="W111" s="1434"/>
    </row>
    <row r="112" spans="1:23" s="1417" customFormat="1" ht="13.8">
      <c r="B112" s="1752" t="s">
        <v>517</v>
      </c>
      <c r="C112" s="1746" t="s">
        <v>3108</v>
      </c>
      <c r="D112" s="1667"/>
      <c r="E112" s="1668"/>
      <c r="F112" s="1669"/>
      <c r="G112" s="1755"/>
      <c r="H112" s="1670">
        <f t="shared" si="15"/>
        <v>0</v>
      </c>
      <c r="I112" s="1670">
        <f t="shared" si="16"/>
        <v>0</v>
      </c>
      <c r="J112" s="1671"/>
      <c r="K112" s="1671">
        <v>0</v>
      </c>
      <c r="L112" s="1895"/>
      <c r="M112" s="1673">
        <f t="shared" si="17"/>
        <v>0</v>
      </c>
      <c r="N112" s="1674"/>
      <c r="O112" s="1675">
        <f t="shared" si="18"/>
        <v>0</v>
      </c>
      <c r="P112" s="1676" t="str">
        <f t="shared" si="19"/>
        <v/>
      </c>
      <c r="Q112" s="1677"/>
      <c r="R112" s="1678">
        <f t="shared" si="20"/>
        <v>0</v>
      </c>
      <c r="S112" s="1679" t="str">
        <f t="shared" si="21"/>
        <v/>
      </c>
      <c r="T112" s="1423"/>
      <c r="U112" s="1423"/>
      <c r="V112" s="1423"/>
      <c r="W112" s="1434"/>
    </row>
    <row r="113" spans="1:23" s="1417" customFormat="1" ht="13.8">
      <c r="A113" s="1429"/>
      <c r="B113" s="1654" t="s">
        <v>695</v>
      </c>
      <c r="C113" s="1666" t="s">
        <v>3834</v>
      </c>
      <c r="D113" s="1667" t="s">
        <v>37</v>
      </c>
      <c r="E113" s="1668">
        <v>1560.67</v>
      </c>
      <c r="F113" s="1669">
        <v>39.130000000000003</v>
      </c>
      <c r="G113" s="1755">
        <v>40.06</v>
      </c>
      <c r="H113" s="1670">
        <f t="shared" si="15"/>
        <v>61069.02</v>
      </c>
      <c r="I113" s="1670">
        <f t="shared" si="16"/>
        <v>62520.44</v>
      </c>
      <c r="J113" s="1671">
        <v>0</v>
      </c>
      <c r="K113" s="1671">
        <v>0</v>
      </c>
      <c r="L113" s="1895">
        <f>+'[31]RESUMEN DE METRADOS '!$H$30</f>
        <v>89.99600000000072</v>
      </c>
      <c r="M113" s="1673">
        <f t="shared" si="17"/>
        <v>3605.239760000029</v>
      </c>
      <c r="N113" s="1674">
        <f t="shared" si="13"/>
        <v>89.99600000000072</v>
      </c>
      <c r="O113" s="1675">
        <f t="shared" si="18"/>
        <v>3605.239760000029</v>
      </c>
      <c r="P113" s="1676">
        <f t="shared" si="19"/>
        <v>5.7664977405789672E-2</v>
      </c>
      <c r="Q113" s="1677">
        <f t="shared" si="14"/>
        <v>1470.6739999999993</v>
      </c>
      <c r="R113" s="1678">
        <f t="shared" si="20"/>
        <v>58915.199999999997</v>
      </c>
      <c r="S113" s="1679">
        <f t="shared" si="21"/>
        <v>0.9423350187554661</v>
      </c>
      <c r="T113" s="1423"/>
      <c r="U113" s="1423"/>
      <c r="V113" s="1423"/>
      <c r="W113" s="1434"/>
    </row>
    <row r="114" spans="1:23" s="1417" customFormat="1" ht="13.8">
      <c r="A114" s="1429"/>
      <c r="B114" s="1752" t="s">
        <v>701</v>
      </c>
      <c r="C114" s="1746" t="s">
        <v>3110</v>
      </c>
      <c r="D114" s="1667"/>
      <c r="E114" s="1668"/>
      <c r="F114" s="1669"/>
      <c r="G114" s="1755"/>
      <c r="H114" s="1670">
        <f t="shared" si="15"/>
        <v>0</v>
      </c>
      <c r="I114" s="1670">
        <f t="shared" si="16"/>
        <v>0</v>
      </c>
      <c r="J114" s="1671"/>
      <c r="K114" s="1671">
        <v>0</v>
      </c>
      <c r="L114" s="1895"/>
      <c r="M114" s="1673">
        <f t="shared" si="17"/>
        <v>0</v>
      </c>
      <c r="N114" s="1674"/>
      <c r="O114" s="1675">
        <f t="shared" si="18"/>
        <v>0</v>
      </c>
      <c r="P114" s="1676" t="str">
        <f t="shared" si="19"/>
        <v/>
      </c>
      <c r="Q114" s="1677"/>
      <c r="R114" s="1678">
        <f t="shared" si="20"/>
        <v>0</v>
      </c>
      <c r="S114" s="1679" t="str">
        <f t="shared" si="21"/>
        <v/>
      </c>
      <c r="T114" s="1423"/>
      <c r="U114" s="1423"/>
      <c r="V114" s="1423"/>
      <c r="W114" s="1434"/>
    </row>
    <row r="115" spans="1:23" s="1417" customFormat="1" ht="13.8">
      <c r="B115" s="1654" t="s">
        <v>702</v>
      </c>
      <c r="C115" s="1666" t="s">
        <v>3119</v>
      </c>
      <c r="D115" s="1667" t="s">
        <v>37</v>
      </c>
      <c r="E115" s="1668">
        <v>606.48</v>
      </c>
      <c r="F115" s="1669">
        <v>38.880000000000003</v>
      </c>
      <c r="G115" s="1755">
        <v>39.56</v>
      </c>
      <c r="H115" s="1670">
        <f t="shared" si="15"/>
        <v>23579.94</v>
      </c>
      <c r="I115" s="1670">
        <f t="shared" si="16"/>
        <v>23992.35</v>
      </c>
      <c r="J115" s="1671">
        <v>0</v>
      </c>
      <c r="K115" s="1671">
        <v>0</v>
      </c>
      <c r="L115" s="1895"/>
      <c r="M115" s="1673">
        <f t="shared" si="17"/>
        <v>0</v>
      </c>
      <c r="N115" s="1674">
        <f t="shared" si="13"/>
        <v>0</v>
      </c>
      <c r="O115" s="1675">
        <f t="shared" si="18"/>
        <v>0</v>
      </c>
      <c r="P115" s="1676">
        <f t="shared" si="19"/>
        <v>0</v>
      </c>
      <c r="Q115" s="1677">
        <f t="shared" si="14"/>
        <v>606.48</v>
      </c>
      <c r="R115" s="1678">
        <f t="shared" si="20"/>
        <v>23992.35</v>
      </c>
      <c r="S115" s="1679">
        <f t="shared" si="21"/>
        <v>1</v>
      </c>
      <c r="T115" s="1423"/>
      <c r="U115" s="1423"/>
      <c r="V115" s="1423"/>
      <c r="W115" s="1434"/>
    </row>
    <row r="116" spans="1:23" s="1417" customFormat="1" ht="13.8">
      <c r="A116" s="1416"/>
      <c r="B116" s="1654" t="s">
        <v>703</v>
      </c>
      <c r="C116" s="1666" t="s">
        <v>3120</v>
      </c>
      <c r="D116" s="1667" t="s">
        <v>37</v>
      </c>
      <c r="E116" s="1668">
        <v>518.78</v>
      </c>
      <c r="F116" s="1669">
        <v>52.43</v>
      </c>
      <c r="G116" s="1755">
        <v>53.05</v>
      </c>
      <c r="H116" s="1670">
        <f t="shared" si="15"/>
        <v>27199.64</v>
      </c>
      <c r="I116" s="1670">
        <f t="shared" si="16"/>
        <v>27521.279999999999</v>
      </c>
      <c r="J116" s="1671">
        <v>0</v>
      </c>
      <c r="K116" s="1671">
        <v>0</v>
      </c>
      <c r="L116" s="1895"/>
      <c r="M116" s="1673">
        <f t="shared" si="17"/>
        <v>0</v>
      </c>
      <c r="N116" s="1674">
        <f t="shared" si="13"/>
        <v>0</v>
      </c>
      <c r="O116" s="1675">
        <f t="shared" si="18"/>
        <v>0</v>
      </c>
      <c r="P116" s="1676">
        <f t="shared" si="19"/>
        <v>0</v>
      </c>
      <c r="Q116" s="1677">
        <f t="shared" si="14"/>
        <v>518.78</v>
      </c>
      <c r="R116" s="1678">
        <f t="shared" si="20"/>
        <v>27521.279999999999</v>
      </c>
      <c r="S116" s="1679">
        <f t="shared" si="21"/>
        <v>1</v>
      </c>
      <c r="T116" s="1423"/>
      <c r="U116" s="1423"/>
      <c r="V116" s="1423"/>
      <c r="W116" s="1434"/>
    </row>
    <row r="117" spans="1:23" s="1417" customFormat="1" ht="13.8">
      <c r="A117" s="1429"/>
      <c r="B117" s="1654" t="s">
        <v>704</v>
      </c>
      <c r="C117" s="1666" t="s">
        <v>3123</v>
      </c>
      <c r="D117" s="1667" t="s">
        <v>37</v>
      </c>
      <c r="E117" s="1668">
        <v>268.88</v>
      </c>
      <c r="F117" s="1669">
        <v>62.63</v>
      </c>
      <c r="G117" s="1755">
        <v>63.77</v>
      </c>
      <c r="H117" s="1670">
        <f t="shared" si="15"/>
        <v>16839.95</v>
      </c>
      <c r="I117" s="1670">
        <f t="shared" si="16"/>
        <v>17146.48</v>
      </c>
      <c r="J117" s="1671">
        <v>0</v>
      </c>
      <c r="K117" s="1671">
        <v>0</v>
      </c>
      <c r="L117" s="1895"/>
      <c r="M117" s="1673">
        <f t="shared" si="17"/>
        <v>0</v>
      </c>
      <c r="N117" s="1674">
        <f t="shared" si="13"/>
        <v>0</v>
      </c>
      <c r="O117" s="1675">
        <f t="shared" si="18"/>
        <v>0</v>
      </c>
      <c r="P117" s="1676">
        <f t="shared" si="19"/>
        <v>0</v>
      </c>
      <c r="Q117" s="1677">
        <f t="shared" si="14"/>
        <v>268.88</v>
      </c>
      <c r="R117" s="1678">
        <f t="shared" si="20"/>
        <v>17146.48</v>
      </c>
      <c r="S117" s="1679">
        <f t="shared" si="21"/>
        <v>1</v>
      </c>
      <c r="T117" s="1423"/>
      <c r="U117" s="1423"/>
      <c r="V117" s="1423"/>
      <c r="W117" s="1434"/>
    </row>
    <row r="118" spans="1:23" s="1417" customFormat="1" ht="13.8">
      <c r="B118" s="1752" t="s">
        <v>742</v>
      </c>
      <c r="C118" s="1746" t="s">
        <v>3129</v>
      </c>
      <c r="D118" s="1667"/>
      <c r="E118" s="1668"/>
      <c r="F118" s="1669"/>
      <c r="G118" s="1755"/>
      <c r="H118" s="1670">
        <f t="shared" si="15"/>
        <v>0</v>
      </c>
      <c r="I118" s="1670">
        <f t="shared" si="16"/>
        <v>0</v>
      </c>
      <c r="J118" s="1671"/>
      <c r="K118" s="1671">
        <v>0</v>
      </c>
      <c r="L118" s="1895"/>
      <c r="M118" s="1673">
        <f t="shared" si="17"/>
        <v>0</v>
      </c>
      <c r="N118" s="1674"/>
      <c r="O118" s="1675">
        <f t="shared" si="18"/>
        <v>0</v>
      </c>
      <c r="P118" s="1676" t="str">
        <f t="shared" si="19"/>
        <v/>
      </c>
      <c r="Q118" s="1677"/>
      <c r="R118" s="1678">
        <f t="shared" si="20"/>
        <v>0</v>
      </c>
      <c r="S118" s="1679" t="str">
        <f t="shared" si="21"/>
        <v/>
      </c>
      <c r="T118" s="1423"/>
      <c r="U118" s="1423"/>
      <c r="V118" s="1423"/>
      <c r="W118" s="1434"/>
    </row>
    <row r="119" spans="1:23" s="1417" customFormat="1" ht="13.8">
      <c r="A119" s="1416"/>
      <c r="B119" s="1752" t="s">
        <v>743</v>
      </c>
      <c r="C119" s="1746" t="s">
        <v>3130</v>
      </c>
      <c r="D119" s="1667"/>
      <c r="E119" s="1668"/>
      <c r="F119" s="1669"/>
      <c r="G119" s="1755"/>
      <c r="H119" s="1670">
        <f t="shared" si="15"/>
        <v>0</v>
      </c>
      <c r="I119" s="1670">
        <f t="shared" si="16"/>
        <v>0</v>
      </c>
      <c r="J119" s="1671"/>
      <c r="K119" s="1671">
        <v>0</v>
      </c>
      <c r="L119" s="1895"/>
      <c r="M119" s="1673">
        <f t="shared" si="17"/>
        <v>0</v>
      </c>
      <c r="N119" s="1674"/>
      <c r="O119" s="1675">
        <f t="shared" si="18"/>
        <v>0</v>
      </c>
      <c r="P119" s="1676" t="str">
        <f t="shared" si="19"/>
        <v/>
      </c>
      <c r="Q119" s="1677"/>
      <c r="R119" s="1678">
        <f t="shared" si="20"/>
        <v>0</v>
      </c>
      <c r="S119" s="1679" t="str">
        <f t="shared" si="21"/>
        <v/>
      </c>
      <c r="T119" s="1423"/>
      <c r="U119" s="1423"/>
      <c r="V119" s="1423"/>
      <c r="W119" s="1434"/>
    </row>
    <row r="120" spans="1:23" s="1417" customFormat="1" ht="13.8">
      <c r="A120" s="1429"/>
      <c r="B120" s="1654" t="s">
        <v>744</v>
      </c>
      <c r="C120" s="1666" t="s">
        <v>3835</v>
      </c>
      <c r="D120" s="1667" t="s">
        <v>37</v>
      </c>
      <c r="E120" s="1668">
        <v>1990.29</v>
      </c>
      <c r="F120" s="1669">
        <v>80.709999999999994</v>
      </c>
      <c r="G120" s="1755">
        <v>81.81</v>
      </c>
      <c r="H120" s="1670">
        <f t="shared" si="15"/>
        <v>160636.31</v>
      </c>
      <c r="I120" s="1670">
        <f t="shared" si="16"/>
        <v>162825.62</v>
      </c>
      <c r="J120" s="1671">
        <v>0</v>
      </c>
      <c r="K120" s="1671">
        <v>0</v>
      </c>
      <c r="L120" s="1895"/>
      <c r="M120" s="1673">
        <f t="shared" si="17"/>
        <v>0</v>
      </c>
      <c r="N120" s="1674">
        <f t="shared" si="13"/>
        <v>0</v>
      </c>
      <c r="O120" s="1675">
        <f t="shared" si="18"/>
        <v>0</v>
      </c>
      <c r="P120" s="1676">
        <f t="shared" si="19"/>
        <v>0</v>
      </c>
      <c r="Q120" s="1677">
        <f t="shared" si="14"/>
        <v>1990.29</v>
      </c>
      <c r="R120" s="1678">
        <f t="shared" si="20"/>
        <v>162825.62</v>
      </c>
      <c r="S120" s="1679">
        <f t="shared" si="21"/>
        <v>1</v>
      </c>
      <c r="T120" s="1423"/>
      <c r="U120" s="1423"/>
      <c r="V120" s="1423"/>
      <c r="W120" s="1434"/>
    </row>
    <row r="121" spans="1:23" s="1417" customFormat="1" ht="13.8">
      <c r="B121" s="1752" t="s">
        <v>763</v>
      </c>
      <c r="C121" s="1746" t="s">
        <v>3139</v>
      </c>
      <c r="D121" s="1667"/>
      <c r="E121" s="1668"/>
      <c r="F121" s="1669"/>
      <c r="G121" s="1755"/>
      <c r="H121" s="1670">
        <f t="shared" si="15"/>
        <v>0</v>
      </c>
      <c r="I121" s="1670">
        <f t="shared" si="16"/>
        <v>0</v>
      </c>
      <c r="J121" s="1671"/>
      <c r="K121" s="1671">
        <v>0</v>
      </c>
      <c r="L121" s="1895"/>
      <c r="M121" s="1673">
        <f t="shared" si="17"/>
        <v>0</v>
      </c>
      <c r="N121" s="1674"/>
      <c r="O121" s="1675">
        <f t="shared" si="18"/>
        <v>0</v>
      </c>
      <c r="P121" s="1676" t="str">
        <f t="shared" si="19"/>
        <v/>
      </c>
      <c r="Q121" s="1677"/>
      <c r="R121" s="1678">
        <f t="shared" si="20"/>
        <v>0</v>
      </c>
      <c r="S121" s="1679" t="str">
        <f t="shared" si="21"/>
        <v/>
      </c>
      <c r="T121" s="1423"/>
      <c r="U121" s="1423"/>
      <c r="V121" s="1423"/>
      <c r="W121" s="1434"/>
    </row>
    <row r="122" spans="1:23" s="1417" customFormat="1" ht="13.8">
      <c r="A122" s="1429"/>
      <c r="B122" s="1654" t="s">
        <v>764</v>
      </c>
      <c r="C122" s="1666" t="s">
        <v>3140</v>
      </c>
      <c r="D122" s="1667" t="s">
        <v>37</v>
      </c>
      <c r="E122" s="1668">
        <v>39.020000000000003</v>
      </c>
      <c r="F122" s="1669">
        <v>434</v>
      </c>
      <c r="G122" s="1755">
        <v>444.73</v>
      </c>
      <c r="H122" s="1670">
        <f t="shared" si="15"/>
        <v>16934.68</v>
      </c>
      <c r="I122" s="1670">
        <f t="shared" si="16"/>
        <v>17353.36</v>
      </c>
      <c r="J122" s="1671">
        <v>0</v>
      </c>
      <c r="K122" s="1671">
        <v>0</v>
      </c>
      <c r="L122" s="1895">
        <f>+'[31]RESUMEN DE METRADOS '!$H$40</f>
        <v>29.822000000000024</v>
      </c>
      <c r="M122" s="1673">
        <f t="shared" si="17"/>
        <v>13262.738060000011</v>
      </c>
      <c r="N122" s="1674">
        <f t="shared" si="13"/>
        <v>29.822000000000024</v>
      </c>
      <c r="O122" s="1675">
        <f t="shared" si="18"/>
        <v>13262.738060000011</v>
      </c>
      <c r="P122" s="1676">
        <f t="shared" si="19"/>
        <v>0.76427493349991071</v>
      </c>
      <c r="Q122" s="1677">
        <f t="shared" si="14"/>
        <v>9.1979999999999791</v>
      </c>
      <c r="R122" s="1678">
        <f t="shared" si="20"/>
        <v>4090.63</v>
      </c>
      <c r="S122" s="1679">
        <f t="shared" si="21"/>
        <v>0.23572553096345605</v>
      </c>
      <c r="T122" s="1423"/>
      <c r="U122" s="1423"/>
      <c r="V122" s="1423"/>
      <c r="W122" s="1434"/>
    </row>
    <row r="123" spans="1:23" s="1417" customFormat="1" ht="27.6">
      <c r="A123" s="1429"/>
      <c r="B123" s="1654" t="s">
        <v>767</v>
      </c>
      <c r="C123" s="1666" t="s">
        <v>3141</v>
      </c>
      <c r="D123" s="1667" t="s">
        <v>37</v>
      </c>
      <c r="E123" s="1668">
        <v>4.3499999999999996</v>
      </c>
      <c r="F123" s="1669">
        <v>420.24</v>
      </c>
      <c r="G123" s="1755">
        <v>430.97</v>
      </c>
      <c r="H123" s="1670">
        <f t="shared" si="15"/>
        <v>1828.04</v>
      </c>
      <c r="I123" s="1670">
        <f t="shared" si="16"/>
        <v>1874.72</v>
      </c>
      <c r="J123" s="1671">
        <v>0</v>
      </c>
      <c r="K123" s="1671">
        <v>0</v>
      </c>
      <c r="L123" s="1895"/>
      <c r="M123" s="1673">
        <f t="shared" si="17"/>
        <v>0</v>
      </c>
      <c r="N123" s="1674">
        <f t="shared" si="13"/>
        <v>0</v>
      </c>
      <c r="O123" s="1675">
        <f t="shared" si="18"/>
        <v>0</v>
      </c>
      <c r="P123" s="1676">
        <f t="shared" si="19"/>
        <v>0</v>
      </c>
      <c r="Q123" s="1677">
        <f t="shared" si="14"/>
        <v>4.3499999999999996</v>
      </c>
      <c r="R123" s="1678">
        <f t="shared" si="20"/>
        <v>1874.72</v>
      </c>
      <c r="S123" s="1679">
        <f t="shared" si="21"/>
        <v>1</v>
      </c>
      <c r="T123" s="1423"/>
      <c r="U123" s="1423"/>
      <c r="V123" s="1423"/>
      <c r="W123" s="1434"/>
    </row>
    <row r="124" spans="1:23" s="1417" customFormat="1" ht="27.6">
      <c r="B124" s="1654" t="s">
        <v>771</v>
      </c>
      <c r="C124" s="1666" t="s">
        <v>3143</v>
      </c>
      <c r="D124" s="1667" t="s">
        <v>37</v>
      </c>
      <c r="E124" s="1668">
        <v>35.58</v>
      </c>
      <c r="F124" s="1669">
        <v>359.34</v>
      </c>
      <c r="G124" s="1755">
        <v>370.07</v>
      </c>
      <c r="H124" s="1670">
        <f t="shared" si="15"/>
        <v>12785.32</v>
      </c>
      <c r="I124" s="1670">
        <f t="shared" si="16"/>
        <v>13167.09</v>
      </c>
      <c r="J124" s="1671">
        <v>12.24</v>
      </c>
      <c r="K124" s="1671">
        <v>4529.6567999999997</v>
      </c>
      <c r="L124" s="1895">
        <f>+'[31]RESUMEN DE METRADOS '!$H$41</f>
        <v>21.159999999999986</v>
      </c>
      <c r="M124" s="1673">
        <f t="shared" si="17"/>
        <v>7830.6811999999945</v>
      </c>
      <c r="N124" s="1674">
        <f t="shared" si="13"/>
        <v>33.399999999999984</v>
      </c>
      <c r="O124" s="1675">
        <f t="shared" si="18"/>
        <v>12360.337999999994</v>
      </c>
      <c r="P124" s="1676">
        <f t="shared" si="19"/>
        <v>0.93872966616010023</v>
      </c>
      <c r="Q124" s="1677">
        <f t="shared" si="14"/>
        <v>2.1800000000000139</v>
      </c>
      <c r="R124" s="1678">
        <f t="shared" si="20"/>
        <v>806.75</v>
      </c>
      <c r="S124" s="1679">
        <f t="shared" si="21"/>
        <v>6.1270181946048823E-2</v>
      </c>
      <c r="T124" s="1423"/>
      <c r="U124" s="1423"/>
      <c r="V124" s="1423"/>
      <c r="W124" s="1434"/>
    </row>
    <row r="125" spans="1:23" s="1417" customFormat="1" ht="27.6">
      <c r="A125" s="1416"/>
      <c r="B125" s="1654" t="s">
        <v>3836</v>
      </c>
      <c r="C125" s="1666" t="s">
        <v>3837</v>
      </c>
      <c r="D125" s="1667" t="s">
        <v>37</v>
      </c>
      <c r="E125" s="1668">
        <v>2.4700000000000002</v>
      </c>
      <c r="F125" s="1669">
        <v>359.34</v>
      </c>
      <c r="G125" s="1755">
        <v>370.07</v>
      </c>
      <c r="H125" s="1670">
        <f t="shared" si="15"/>
        <v>887.57</v>
      </c>
      <c r="I125" s="1670">
        <f t="shared" si="16"/>
        <v>914.07</v>
      </c>
      <c r="J125" s="1671">
        <v>0</v>
      </c>
      <c r="K125" s="1671">
        <v>0</v>
      </c>
      <c r="L125" s="1895"/>
      <c r="M125" s="1673">
        <f t="shared" si="17"/>
        <v>0</v>
      </c>
      <c r="N125" s="1674">
        <f t="shared" si="13"/>
        <v>0</v>
      </c>
      <c r="O125" s="1675">
        <f t="shared" si="18"/>
        <v>0</v>
      </c>
      <c r="P125" s="1676">
        <f t="shared" si="19"/>
        <v>0</v>
      </c>
      <c r="Q125" s="1677">
        <f t="shared" si="14"/>
        <v>2.4700000000000002</v>
      </c>
      <c r="R125" s="1678">
        <f t="shared" si="20"/>
        <v>914.07</v>
      </c>
      <c r="S125" s="1679">
        <f t="shared" si="21"/>
        <v>1</v>
      </c>
      <c r="T125" s="1423"/>
      <c r="U125" s="1423"/>
      <c r="V125" s="1423"/>
      <c r="W125" s="1434"/>
    </row>
    <row r="126" spans="1:23" s="1417" customFormat="1" ht="13.8">
      <c r="A126" s="1429"/>
      <c r="B126" s="1752" t="s">
        <v>774</v>
      </c>
      <c r="C126" s="1746" t="s">
        <v>3838</v>
      </c>
      <c r="D126" s="1667"/>
      <c r="E126" s="1668"/>
      <c r="F126" s="1669"/>
      <c r="G126" s="1755"/>
      <c r="H126" s="1670">
        <f t="shared" si="15"/>
        <v>0</v>
      </c>
      <c r="I126" s="1670">
        <f t="shared" si="16"/>
        <v>0</v>
      </c>
      <c r="J126" s="1671"/>
      <c r="K126" s="1671">
        <v>0</v>
      </c>
      <c r="L126" s="1895"/>
      <c r="M126" s="1673">
        <f t="shared" si="17"/>
        <v>0</v>
      </c>
      <c r="N126" s="1674"/>
      <c r="O126" s="1675">
        <f t="shared" si="18"/>
        <v>0</v>
      </c>
      <c r="P126" s="1676" t="str">
        <f t="shared" si="19"/>
        <v/>
      </c>
      <c r="Q126" s="1677"/>
      <c r="R126" s="1678">
        <f t="shared" si="20"/>
        <v>0</v>
      </c>
      <c r="S126" s="1679" t="str">
        <f t="shared" si="21"/>
        <v/>
      </c>
      <c r="T126" s="1423"/>
      <c r="U126" s="1423"/>
      <c r="V126" s="1423"/>
      <c r="W126" s="1434"/>
    </row>
    <row r="127" spans="1:23" s="1417" customFormat="1" ht="13.8">
      <c r="B127" s="1752" t="s">
        <v>775</v>
      </c>
      <c r="C127" s="1746" t="s">
        <v>3839</v>
      </c>
      <c r="D127" s="1667"/>
      <c r="E127" s="1668"/>
      <c r="F127" s="1669"/>
      <c r="G127" s="1755"/>
      <c r="H127" s="1670">
        <f t="shared" si="15"/>
        <v>0</v>
      </c>
      <c r="I127" s="1670">
        <f t="shared" si="16"/>
        <v>0</v>
      </c>
      <c r="J127" s="1671"/>
      <c r="K127" s="1671">
        <v>0</v>
      </c>
      <c r="L127" s="1895"/>
      <c r="M127" s="1673">
        <f t="shared" si="17"/>
        <v>0</v>
      </c>
      <c r="N127" s="1674"/>
      <c r="O127" s="1675">
        <f t="shared" si="18"/>
        <v>0</v>
      </c>
      <c r="P127" s="1676" t="str">
        <f t="shared" si="19"/>
        <v/>
      </c>
      <c r="Q127" s="1677"/>
      <c r="R127" s="1678">
        <f t="shared" si="20"/>
        <v>0</v>
      </c>
      <c r="S127" s="1679" t="str">
        <f t="shared" si="21"/>
        <v/>
      </c>
      <c r="T127" s="1423"/>
      <c r="U127" s="1423"/>
      <c r="V127" s="1423"/>
      <c r="W127" s="1434"/>
    </row>
    <row r="128" spans="1:23" s="1417" customFormat="1" ht="13.8">
      <c r="A128" s="1416"/>
      <c r="B128" s="1654" t="s">
        <v>776</v>
      </c>
      <c r="C128" s="1666" t="s">
        <v>3150</v>
      </c>
      <c r="D128" s="1667" t="s">
        <v>36</v>
      </c>
      <c r="E128" s="1668">
        <v>6</v>
      </c>
      <c r="F128" s="1669">
        <v>658.81</v>
      </c>
      <c r="G128" s="1755">
        <v>664.7</v>
      </c>
      <c r="H128" s="1670">
        <f t="shared" si="15"/>
        <v>3952.86</v>
      </c>
      <c r="I128" s="1670">
        <f t="shared" si="16"/>
        <v>3988.2</v>
      </c>
      <c r="J128" s="1671">
        <v>0</v>
      </c>
      <c r="K128" s="1671">
        <v>0</v>
      </c>
      <c r="L128" s="1895"/>
      <c r="M128" s="1673">
        <f t="shared" si="17"/>
        <v>0</v>
      </c>
      <c r="N128" s="1674">
        <f t="shared" si="13"/>
        <v>0</v>
      </c>
      <c r="O128" s="1675">
        <f t="shared" si="18"/>
        <v>0</v>
      </c>
      <c r="P128" s="1676">
        <f t="shared" si="19"/>
        <v>0</v>
      </c>
      <c r="Q128" s="1677">
        <f t="shared" si="14"/>
        <v>6</v>
      </c>
      <c r="R128" s="1678">
        <f t="shared" si="20"/>
        <v>3988.2</v>
      </c>
      <c r="S128" s="1679">
        <f t="shared" si="21"/>
        <v>1</v>
      </c>
      <c r="T128" s="1423"/>
      <c r="U128" s="1423"/>
      <c r="V128" s="1423"/>
      <c r="W128" s="1434"/>
    </row>
    <row r="129" spans="1:23" s="1417" customFormat="1" ht="13.8">
      <c r="A129" s="1429"/>
      <c r="B129" s="1752" t="s">
        <v>778</v>
      </c>
      <c r="C129" s="1746" t="s">
        <v>3152</v>
      </c>
      <c r="D129" s="1667"/>
      <c r="E129" s="1668"/>
      <c r="F129" s="1669"/>
      <c r="G129" s="1755"/>
      <c r="H129" s="1670">
        <f t="shared" si="15"/>
        <v>0</v>
      </c>
      <c r="I129" s="1670">
        <f t="shared" si="16"/>
        <v>0</v>
      </c>
      <c r="J129" s="1671"/>
      <c r="K129" s="1671">
        <v>0</v>
      </c>
      <c r="L129" s="1895"/>
      <c r="M129" s="1673">
        <f t="shared" si="17"/>
        <v>0</v>
      </c>
      <c r="N129" s="1674"/>
      <c r="O129" s="1675">
        <f t="shared" si="18"/>
        <v>0</v>
      </c>
      <c r="P129" s="1676" t="str">
        <f t="shared" si="19"/>
        <v/>
      </c>
      <c r="Q129" s="1677"/>
      <c r="R129" s="1678">
        <f t="shared" si="20"/>
        <v>0</v>
      </c>
      <c r="S129" s="1679" t="str">
        <f t="shared" si="21"/>
        <v/>
      </c>
      <c r="T129" s="1423"/>
      <c r="U129" s="1423"/>
      <c r="V129" s="1423"/>
      <c r="W129" s="1434"/>
    </row>
    <row r="130" spans="1:23" s="1417" customFormat="1" ht="27.6">
      <c r="B130" s="1654" t="s">
        <v>779</v>
      </c>
      <c r="C130" s="1666" t="s">
        <v>3153</v>
      </c>
      <c r="D130" s="1667" t="s">
        <v>37</v>
      </c>
      <c r="E130" s="1668">
        <v>22.01</v>
      </c>
      <c r="F130" s="1669">
        <v>180.4</v>
      </c>
      <c r="G130" s="1755">
        <v>180.4</v>
      </c>
      <c r="H130" s="1670">
        <f t="shared" si="15"/>
        <v>3970.6</v>
      </c>
      <c r="I130" s="1670">
        <f t="shared" si="16"/>
        <v>3970.6</v>
      </c>
      <c r="J130" s="1671">
        <v>0</v>
      </c>
      <c r="K130" s="1671">
        <v>0</v>
      </c>
      <c r="L130" s="1895"/>
      <c r="M130" s="1673">
        <f t="shared" si="17"/>
        <v>0</v>
      </c>
      <c r="N130" s="1674">
        <f t="shared" si="13"/>
        <v>0</v>
      </c>
      <c r="O130" s="1675">
        <f t="shared" si="18"/>
        <v>0</v>
      </c>
      <c r="P130" s="1676">
        <f t="shared" si="19"/>
        <v>0</v>
      </c>
      <c r="Q130" s="1677">
        <f t="shared" si="14"/>
        <v>22.01</v>
      </c>
      <c r="R130" s="1678">
        <f t="shared" si="20"/>
        <v>3970.6</v>
      </c>
      <c r="S130" s="1679">
        <f t="shared" si="21"/>
        <v>1</v>
      </c>
      <c r="T130" s="1423"/>
      <c r="U130" s="1423"/>
      <c r="V130" s="1423"/>
      <c r="W130" s="1434"/>
    </row>
    <row r="131" spans="1:23" s="1417" customFormat="1" ht="13.8">
      <c r="A131" s="1429"/>
      <c r="B131" s="1752" t="s">
        <v>3840</v>
      </c>
      <c r="C131" s="1746" t="s">
        <v>3157</v>
      </c>
      <c r="D131" s="1667"/>
      <c r="E131" s="1668"/>
      <c r="F131" s="1669"/>
      <c r="G131" s="1755"/>
      <c r="H131" s="1670">
        <f t="shared" si="15"/>
        <v>0</v>
      </c>
      <c r="I131" s="1670">
        <f t="shared" si="16"/>
        <v>0</v>
      </c>
      <c r="J131" s="1671"/>
      <c r="K131" s="1671">
        <v>0</v>
      </c>
      <c r="L131" s="1895"/>
      <c r="M131" s="1673">
        <f t="shared" si="17"/>
        <v>0</v>
      </c>
      <c r="N131" s="1674"/>
      <c r="O131" s="1675">
        <f t="shared" si="18"/>
        <v>0</v>
      </c>
      <c r="P131" s="1676" t="str">
        <f t="shared" si="19"/>
        <v/>
      </c>
      <c r="Q131" s="1677"/>
      <c r="R131" s="1678">
        <f t="shared" si="20"/>
        <v>0</v>
      </c>
      <c r="S131" s="1679" t="str">
        <f t="shared" si="21"/>
        <v/>
      </c>
      <c r="T131" s="1423"/>
      <c r="U131" s="1423"/>
      <c r="V131" s="1423"/>
      <c r="W131" s="1434"/>
    </row>
    <row r="132" spans="1:23" s="1417" customFormat="1" ht="13.8">
      <c r="A132" s="1429"/>
      <c r="B132" s="1654" t="s">
        <v>3841</v>
      </c>
      <c r="C132" s="1666" t="s">
        <v>3159</v>
      </c>
      <c r="D132" s="1667" t="s">
        <v>38</v>
      </c>
      <c r="E132" s="1668">
        <v>207.49</v>
      </c>
      <c r="F132" s="1669">
        <v>393.88</v>
      </c>
      <c r="G132" s="1755">
        <v>396.74</v>
      </c>
      <c r="H132" s="1670">
        <f t="shared" si="15"/>
        <v>81726.16</v>
      </c>
      <c r="I132" s="1670">
        <f t="shared" si="16"/>
        <v>82319.58</v>
      </c>
      <c r="J132" s="1671">
        <v>0</v>
      </c>
      <c r="K132" s="1671">
        <v>0</v>
      </c>
      <c r="L132" s="1895"/>
      <c r="M132" s="1673">
        <f t="shared" si="17"/>
        <v>0</v>
      </c>
      <c r="N132" s="1674">
        <f t="shared" si="13"/>
        <v>0</v>
      </c>
      <c r="O132" s="1675">
        <f t="shared" si="18"/>
        <v>0</v>
      </c>
      <c r="P132" s="1676">
        <f t="shared" si="19"/>
        <v>0</v>
      </c>
      <c r="Q132" s="1677">
        <f t="shared" si="14"/>
        <v>207.49</v>
      </c>
      <c r="R132" s="1678">
        <f t="shared" si="20"/>
        <v>82319.58</v>
      </c>
      <c r="S132" s="1679">
        <f t="shared" si="21"/>
        <v>1</v>
      </c>
      <c r="T132" s="1423"/>
      <c r="U132" s="1423"/>
      <c r="V132" s="1423"/>
      <c r="W132" s="1434"/>
    </row>
    <row r="133" spans="1:23" s="1417" customFormat="1" ht="13.8">
      <c r="B133" s="1654" t="s">
        <v>3842</v>
      </c>
      <c r="C133" s="1666" t="s">
        <v>3843</v>
      </c>
      <c r="D133" s="1667" t="s">
        <v>38</v>
      </c>
      <c r="E133" s="1668">
        <v>783.79</v>
      </c>
      <c r="F133" s="1669">
        <v>276.77999999999997</v>
      </c>
      <c r="G133" s="1755">
        <v>279.17</v>
      </c>
      <c r="H133" s="1670">
        <f t="shared" si="15"/>
        <v>216937.4</v>
      </c>
      <c r="I133" s="1670">
        <f t="shared" si="16"/>
        <v>218810.65</v>
      </c>
      <c r="J133" s="1671">
        <v>0</v>
      </c>
      <c r="K133" s="1671">
        <v>0</v>
      </c>
      <c r="L133" s="1895"/>
      <c r="M133" s="1673">
        <f t="shared" si="17"/>
        <v>0</v>
      </c>
      <c r="N133" s="1674">
        <f t="shared" si="13"/>
        <v>0</v>
      </c>
      <c r="O133" s="1675">
        <f t="shared" si="18"/>
        <v>0</v>
      </c>
      <c r="P133" s="1676">
        <f t="shared" si="19"/>
        <v>0</v>
      </c>
      <c r="Q133" s="1677">
        <f t="shared" si="14"/>
        <v>783.79</v>
      </c>
      <c r="R133" s="1678">
        <f t="shared" si="20"/>
        <v>218810.65</v>
      </c>
      <c r="S133" s="1679">
        <f t="shared" si="21"/>
        <v>1</v>
      </c>
      <c r="T133" s="1423"/>
      <c r="U133" s="1423"/>
      <c r="V133" s="1423"/>
      <c r="W133" s="1434"/>
    </row>
    <row r="134" spans="1:23" s="1417" customFormat="1" ht="13.8">
      <c r="A134" s="1416"/>
      <c r="B134" s="1752" t="s">
        <v>781</v>
      </c>
      <c r="C134" s="1746" t="s">
        <v>3176</v>
      </c>
      <c r="D134" s="1667"/>
      <c r="E134" s="1668"/>
      <c r="F134" s="1669"/>
      <c r="G134" s="1755"/>
      <c r="H134" s="1670">
        <f t="shared" si="15"/>
        <v>0</v>
      </c>
      <c r="I134" s="1670">
        <f t="shared" si="16"/>
        <v>0</v>
      </c>
      <c r="J134" s="1671"/>
      <c r="K134" s="1671">
        <v>0</v>
      </c>
      <c r="L134" s="1895"/>
      <c r="M134" s="1673">
        <f t="shared" si="17"/>
        <v>0</v>
      </c>
      <c r="N134" s="1674"/>
      <c r="O134" s="1675">
        <f t="shared" si="18"/>
        <v>0</v>
      </c>
      <c r="P134" s="1676" t="str">
        <f t="shared" si="19"/>
        <v/>
      </c>
      <c r="Q134" s="1677"/>
      <c r="R134" s="1678">
        <f t="shared" si="20"/>
        <v>0</v>
      </c>
      <c r="S134" s="1679" t="str">
        <f t="shared" si="21"/>
        <v/>
      </c>
      <c r="T134" s="1423"/>
      <c r="U134" s="1423"/>
      <c r="V134" s="1423"/>
      <c r="W134" s="1434"/>
    </row>
    <row r="135" spans="1:23" s="1417" customFormat="1" ht="13.8">
      <c r="A135" s="1429"/>
      <c r="B135" s="1654" t="s">
        <v>782</v>
      </c>
      <c r="C135" s="1666" t="s">
        <v>3177</v>
      </c>
      <c r="D135" s="1667" t="s">
        <v>36</v>
      </c>
      <c r="E135" s="1668">
        <v>39</v>
      </c>
      <c r="F135" s="1669">
        <v>29.86</v>
      </c>
      <c r="G135" s="1755">
        <v>29.94</v>
      </c>
      <c r="H135" s="1670">
        <f t="shared" si="15"/>
        <v>1164.54</v>
      </c>
      <c r="I135" s="1670">
        <f t="shared" si="16"/>
        <v>1167.6600000000001</v>
      </c>
      <c r="J135" s="1671">
        <v>0</v>
      </c>
      <c r="K135" s="1671">
        <v>0</v>
      </c>
      <c r="L135" s="1895"/>
      <c r="M135" s="1673">
        <f t="shared" si="17"/>
        <v>0</v>
      </c>
      <c r="N135" s="1674">
        <f t="shared" si="13"/>
        <v>0</v>
      </c>
      <c r="O135" s="1675">
        <f t="shared" si="18"/>
        <v>0</v>
      </c>
      <c r="P135" s="1676">
        <f t="shared" si="19"/>
        <v>0</v>
      </c>
      <c r="Q135" s="1677">
        <f t="shared" si="14"/>
        <v>39</v>
      </c>
      <c r="R135" s="1678">
        <f t="shared" si="20"/>
        <v>1167.6600000000001</v>
      </c>
      <c r="S135" s="1679">
        <f t="shared" si="21"/>
        <v>1</v>
      </c>
      <c r="T135" s="1423"/>
      <c r="U135" s="1423"/>
      <c r="V135" s="1423"/>
      <c r="W135" s="1434"/>
    </row>
    <row r="136" spans="1:23" s="1417" customFormat="1" ht="13.8">
      <c r="B136" s="1654" t="s">
        <v>786</v>
      </c>
      <c r="C136" s="1666" t="s">
        <v>3844</v>
      </c>
      <c r="D136" s="1667" t="s">
        <v>36</v>
      </c>
      <c r="E136" s="1668">
        <v>48</v>
      </c>
      <c r="F136" s="1669">
        <v>19.86</v>
      </c>
      <c r="G136" s="1755">
        <v>19.940000000000001</v>
      </c>
      <c r="H136" s="1670">
        <f t="shared" si="15"/>
        <v>953.28</v>
      </c>
      <c r="I136" s="1670">
        <f t="shared" si="16"/>
        <v>957.12</v>
      </c>
      <c r="J136" s="1671">
        <v>0</v>
      </c>
      <c r="K136" s="1671">
        <v>0</v>
      </c>
      <c r="L136" s="1895"/>
      <c r="M136" s="1673">
        <f t="shared" si="17"/>
        <v>0</v>
      </c>
      <c r="N136" s="1674">
        <f t="shared" si="13"/>
        <v>0</v>
      </c>
      <c r="O136" s="1675">
        <f t="shared" si="18"/>
        <v>0</v>
      </c>
      <c r="P136" s="1676">
        <f t="shared" si="19"/>
        <v>0</v>
      </c>
      <c r="Q136" s="1677">
        <f t="shared" si="14"/>
        <v>48</v>
      </c>
      <c r="R136" s="1678">
        <f t="shared" si="20"/>
        <v>957.12</v>
      </c>
      <c r="S136" s="1679">
        <f t="shared" si="21"/>
        <v>1</v>
      </c>
      <c r="T136" s="1423"/>
      <c r="U136" s="1423"/>
      <c r="V136" s="1423"/>
      <c r="W136" s="1434"/>
    </row>
    <row r="137" spans="1:23" s="1417" customFormat="1" ht="13.8">
      <c r="A137" s="1416"/>
      <c r="B137" s="1654" t="s">
        <v>789</v>
      </c>
      <c r="C137" s="1666" t="s">
        <v>3180</v>
      </c>
      <c r="D137" s="1667" t="s">
        <v>36</v>
      </c>
      <c r="E137" s="1668">
        <v>13</v>
      </c>
      <c r="F137" s="1669">
        <v>95.4</v>
      </c>
      <c r="G137" s="1755">
        <v>96.42</v>
      </c>
      <c r="H137" s="1670">
        <f t="shared" si="15"/>
        <v>1240.2</v>
      </c>
      <c r="I137" s="1670">
        <f t="shared" si="16"/>
        <v>1253.46</v>
      </c>
      <c r="J137" s="1671">
        <v>0</v>
      </c>
      <c r="K137" s="1671">
        <v>0</v>
      </c>
      <c r="L137" s="1895"/>
      <c r="M137" s="1673">
        <f t="shared" si="17"/>
        <v>0</v>
      </c>
      <c r="N137" s="1674">
        <f t="shared" si="13"/>
        <v>0</v>
      </c>
      <c r="O137" s="1675">
        <f t="shared" si="18"/>
        <v>0</v>
      </c>
      <c r="P137" s="1676">
        <f t="shared" si="19"/>
        <v>0</v>
      </c>
      <c r="Q137" s="1677">
        <f t="shared" si="14"/>
        <v>13</v>
      </c>
      <c r="R137" s="1678">
        <f t="shared" si="20"/>
        <v>1253.46</v>
      </c>
      <c r="S137" s="1679">
        <f t="shared" si="21"/>
        <v>1</v>
      </c>
      <c r="T137" s="1423"/>
      <c r="U137" s="1423"/>
      <c r="V137" s="1423"/>
      <c r="W137" s="1434"/>
    </row>
    <row r="138" spans="1:23" s="1417" customFormat="1" ht="13.8">
      <c r="A138" s="1429"/>
      <c r="B138" s="1654" t="s">
        <v>793</v>
      </c>
      <c r="C138" s="1666" t="s">
        <v>3181</v>
      </c>
      <c r="D138" s="1667" t="s">
        <v>36</v>
      </c>
      <c r="E138" s="1668">
        <v>13</v>
      </c>
      <c r="F138" s="1669">
        <v>75.42</v>
      </c>
      <c r="G138" s="1755">
        <v>76.44</v>
      </c>
      <c r="H138" s="1670">
        <f t="shared" si="15"/>
        <v>980.46</v>
      </c>
      <c r="I138" s="1670">
        <f t="shared" si="16"/>
        <v>993.72</v>
      </c>
      <c r="J138" s="1671">
        <v>0</v>
      </c>
      <c r="K138" s="1671">
        <v>0</v>
      </c>
      <c r="L138" s="1895"/>
      <c r="M138" s="1673">
        <f t="shared" si="17"/>
        <v>0</v>
      </c>
      <c r="N138" s="1674">
        <f t="shared" si="13"/>
        <v>0</v>
      </c>
      <c r="O138" s="1675">
        <f t="shared" si="18"/>
        <v>0</v>
      </c>
      <c r="P138" s="1676">
        <f t="shared" si="19"/>
        <v>0</v>
      </c>
      <c r="Q138" s="1677">
        <f t="shared" si="14"/>
        <v>13</v>
      </c>
      <c r="R138" s="1678">
        <f t="shared" si="20"/>
        <v>993.72</v>
      </c>
      <c r="S138" s="1679">
        <f t="shared" si="21"/>
        <v>1</v>
      </c>
      <c r="T138" s="1423"/>
      <c r="U138" s="1423"/>
      <c r="V138" s="1423"/>
      <c r="W138" s="1434"/>
    </row>
    <row r="139" spans="1:23" s="1417" customFormat="1" ht="13.8">
      <c r="B139" s="1654" t="s">
        <v>799</v>
      </c>
      <c r="C139" s="1666" t="s">
        <v>3182</v>
      </c>
      <c r="D139" s="1667" t="s">
        <v>36</v>
      </c>
      <c r="E139" s="1668">
        <v>1</v>
      </c>
      <c r="F139" s="1669">
        <v>112.4</v>
      </c>
      <c r="G139" s="1755">
        <v>113.42</v>
      </c>
      <c r="H139" s="1670">
        <f t="shared" si="15"/>
        <v>112.4</v>
      </c>
      <c r="I139" s="1670">
        <f t="shared" si="16"/>
        <v>113.42</v>
      </c>
      <c r="J139" s="1671">
        <v>0</v>
      </c>
      <c r="K139" s="1671">
        <v>0</v>
      </c>
      <c r="L139" s="1895"/>
      <c r="M139" s="1673">
        <f t="shared" si="17"/>
        <v>0</v>
      </c>
      <c r="N139" s="1674">
        <f t="shared" si="13"/>
        <v>0</v>
      </c>
      <c r="O139" s="1675">
        <f t="shared" si="18"/>
        <v>0</v>
      </c>
      <c r="P139" s="1676">
        <f t="shared" si="19"/>
        <v>0</v>
      </c>
      <c r="Q139" s="1677">
        <f t="shared" si="14"/>
        <v>1</v>
      </c>
      <c r="R139" s="1678">
        <f t="shared" si="20"/>
        <v>113.42</v>
      </c>
      <c r="S139" s="1679">
        <f t="shared" si="21"/>
        <v>1</v>
      </c>
      <c r="T139" s="1423"/>
      <c r="U139" s="1423"/>
      <c r="V139" s="1423"/>
      <c r="W139" s="1434"/>
    </row>
    <row r="140" spans="1:23" s="1417" customFormat="1" ht="13.8">
      <c r="A140" s="1429"/>
      <c r="B140" s="1654" t="s">
        <v>3845</v>
      </c>
      <c r="C140" s="1666" t="s">
        <v>3185</v>
      </c>
      <c r="D140" s="1667" t="s">
        <v>36</v>
      </c>
      <c r="E140" s="1668">
        <v>18</v>
      </c>
      <c r="F140" s="1669">
        <v>17.68</v>
      </c>
      <c r="G140" s="1755">
        <v>17.940000000000001</v>
      </c>
      <c r="H140" s="1670">
        <f t="shared" si="15"/>
        <v>318.24</v>
      </c>
      <c r="I140" s="1670">
        <f t="shared" si="16"/>
        <v>322.92</v>
      </c>
      <c r="J140" s="1671">
        <v>0</v>
      </c>
      <c r="K140" s="1671">
        <v>0</v>
      </c>
      <c r="L140" s="1895"/>
      <c r="M140" s="1673">
        <f t="shared" si="17"/>
        <v>0</v>
      </c>
      <c r="N140" s="1674">
        <f t="shared" si="13"/>
        <v>0</v>
      </c>
      <c r="O140" s="1675">
        <f t="shared" si="18"/>
        <v>0</v>
      </c>
      <c r="P140" s="1676">
        <f t="shared" si="19"/>
        <v>0</v>
      </c>
      <c r="Q140" s="1677">
        <f t="shared" si="14"/>
        <v>18</v>
      </c>
      <c r="R140" s="1678">
        <f t="shared" si="20"/>
        <v>322.92</v>
      </c>
      <c r="S140" s="1679">
        <f t="shared" si="21"/>
        <v>1</v>
      </c>
      <c r="T140" s="1423"/>
      <c r="U140" s="1423"/>
      <c r="V140" s="1423"/>
      <c r="W140" s="1434"/>
    </row>
    <row r="141" spans="1:23" s="1417" customFormat="1" ht="13.8">
      <c r="A141" s="1429"/>
      <c r="B141" s="1752" t="s">
        <v>3846</v>
      </c>
      <c r="C141" s="1746" t="s">
        <v>3187</v>
      </c>
      <c r="D141" s="1667"/>
      <c r="E141" s="1668"/>
      <c r="F141" s="1669"/>
      <c r="G141" s="1755"/>
      <c r="H141" s="1670">
        <f t="shared" si="15"/>
        <v>0</v>
      </c>
      <c r="I141" s="1670">
        <f t="shared" si="16"/>
        <v>0</v>
      </c>
      <c r="J141" s="1671"/>
      <c r="K141" s="1671">
        <v>0</v>
      </c>
      <c r="L141" s="1895"/>
      <c r="M141" s="1673">
        <f t="shared" si="17"/>
        <v>0</v>
      </c>
      <c r="N141" s="1674"/>
      <c r="O141" s="1675">
        <f t="shared" si="18"/>
        <v>0</v>
      </c>
      <c r="P141" s="1676" t="str">
        <f t="shared" si="19"/>
        <v/>
      </c>
      <c r="Q141" s="1677"/>
      <c r="R141" s="1678">
        <f t="shared" si="20"/>
        <v>0</v>
      </c>
      <c r="S141" s="1679" t="str">
        <f t="shared" si="21"/>
        <v/>
      </c>
      <c r="T141" s="1423"/>
      <c r="U141" s="1423"/>
      <c r="V141" s="1423"/>
      <c r="W141" s="1434"/>
    </row>
    <row r="142" spans="1:23" s="1417" customFormat="1" ht="13.8">
      <c r="B142" s="1654" t="s">
        <v>3847</v>
      </c>
      <c r="C142" s="1666" t="s">
        <v>3190</v>
      </c>
      <c r="D142" s="1667" t="s">
        <v>36</v>
      </c>
      <c r="E142" s="1668">
        <v>600</v>
      </c>
      <c r="F142" s="1669">
        <v>80.06</v>
      </c>
      <c r="G142" s="1755">
        <v>80.349999999999994</v>
      </c>
      <c r="H142" s="1670">
        <f t="shared" si="15"/>
        <v>48036</v>
      </c>
      <c r="I142" s="1670">
        <f t="shared" si="16"/>
        <v>48210</v>
      </c>
      <c r="J142" s="1671">
        <v>0</v>
      </c>
      <c r="K142" s="1671">
        <v>0</v>
      </c>
      <c r="L142" s="1895"/>
      <c r="M142" s="1673">
        <f t="shared" si="17"/>
        <v>0</v>
      </c>
      <c r="N142" s="1674">
        <f t="shared" si="13"/>
        <v>0</v>
      </c>
      <c r="O142" s="1675">
        <f t="shared" si="18"/>
        <v>0</v>
      </c>
      <c r="P142" s="1676">
        <f t="shared" si="19"/>
        <v>0</v>
      </c>
      <c r="Q142" s="1677">
        <f t="shared" si="14"/>
        <v>600</v>
      </c>
      <c r="R142" s="1678">
        <f t="shared" si="20"/>
        <v>48210</v>
      </c>
      <c r="S142" s="1679">
        <f t="shared" si="21"/>
        <v>1</v>
      </c>
      <c r="T142" s="1423"/>
      <c r="U142" s="1423"/>
      <c r="V142" s="1423"/>
      <c r="W142" s="1434"/>
    </row>
    <row r="143" spans="1:23" s="1417" customFormat="1" ht="27.6">
      <c r="A143" s="1416"/>
      <c r="B143" s="1654" t="s">
        <v>3848</v>
      </c>
      <c r="C143" s="1666" t="s">
        <v>3188</v>
      </c>
      <c r="D143" s="1667" t="s">
        <v>37</v>
      </c>
      <c r="E143" s="1668">
        <v>125.91</v>
      </c>
      <c r="F143" s="1669">
        <v>168</v>
      </c>
      <c r="G143" s="1755">
        <v>168</v>
      </c>
      <c r="H143" s="1670">
        <f t="shared" si="15"/>
        <v>21152.880000000001</v>
      </c>
      <c r="I143" s="1670">
        <f t="shared" si="16"/>
        <v>21152.880000000001</v>
      </c>
      <c r="J143" s="1671">
        <v>0</v>
      </c>
      <c r="K143" s="1671">
        <v>0</v>
      </c>
      <c r="L143" s="1895"/>
      <c r="M143" s="1673">
        <f t="shared" si="17"/>
        <v>0</v>
      </c>
      <c r="N143" s="1674">
        <f t="shared" si="13"/>
        <v>0</v>
      </c>
      <c r="O143" s="1675">
        <f t="shared" si="18"/>
        <v>0</v>
      </c>
      <c r="P143" s="1676">
        <f t="shared" si="19"/>
        <v>0</v>
      </c>
      <c r="Q143" s="1677">
        <f t="shared" si="14"/>
        <v>125.91</v>
      </c>
      <c r="R143" s="1678">
        <f t="shared" si="20"/>
        <v>21152.880000000001</v>
      </c>
      <c r="S143" s="1679">
        <f t="shared" si="21"/>
        <v>1</v>
      </c>
      <c r="T143" s="1423"/>
      <c r="U143" s="1423"/>
      <c r="V143" s="1423"/>
      <c r="W143" s="1434"/>
    </row>
    <row r="144" spans="1:23" s="1417" customFormat="1" ht="13.8">
      <c r="A144" s="1429"/>
      <c r="B144" s="1752" t="s">
        <v>3849</v>
      </c>
      <c r="C144" s="1746" t="s">
        <v>3206</v>
      </c>
      <c r="D144" s="1667"/>
      <c r="E144" s="1668"/>
      <c r="F144" s="1669"/>
      <c r="G144" s="1755"/>
      <c r="H144" s="1670">
        <f t="shared" si="15"/>
        <v>0</v>
      </c>
      <c r="I144" s="1670">
        <f t="shared" si="16"/>
        <v>0</v>
      </c>
      <c r="J144" s="1671"/>
      <c r="K144" s="1671">
        <v>0</v>
      </c>
      <c r="L144" s="1895"/>
      <c r="M144" s="1673">
        <f t="shared" si="17"/>
        <v>0</v>
      </c>
      <c r="N144" s="1674"/>
      <c r="O144" s="1675">
        <f t="shared" si="18"/>
        <v>0</v>
      </c>
      <c r="P144" s="1676" t="str">
        <f t="shared" si="19"/>
        <v/>
      </c>
      <c r="Q144" s="1677"/>
      <c r="R144" s="1678">
        <f t="shared" si="20"/>
        <v>0</v>
      </c>
      <c r="S144" s="1679" t="str">
        <f t="shared" si="21"/>
        <v/>
      </c>
      <c r="T144" s="1423"/>
      <c r="U144" s="1423"/>
      <c r="V144" s="1423"/>
      <c r="W144" s="1434"/>
    </row>
    <row r="145" spans="1:23" s="1417" customFormat="1" ht="13.8">
      <c r="B145" s="1654" t="s">
        <v>3850</v>
      </c>
      <c r="C145" s="1666" t="s">
        <v>3207</v>
      </c>
      <c r="D145" s="1667" t="s">
        <v>40</v>
      </c>
      <c r="E145" s="1668">
        <v>22.56</v>
      </c>
      <c r="F145" s="1669">
        <v>94.22</v>
      </c>
      <c r="G145" s="1755">
        <v>94.94</v>
      </c>
      <c r="H145" s="1670">
        <f t="shared" si="15"/>
        <v>2125.6</v>
      </c>
      <c r="I145" s="1670">
        <f t="shared" si="16"/>
        <v>2141.85</v>
      </c>
      <c r="J145" s="1671">
        <v>0</v>
      </c>
      <c r="K145" s="1671">
        <v>0</v>
      </c>
      <c r="L145" s="1895"/>
      <c r="M145" s="1673">
        <f t="shared" si="17"/>
        <v>0</v>
      </c>
      <c r="N145" s="1674">
        <f t="shared" ref="N145:N208" si="22">J145+L145</f>
        <v>0</v>
      </c>
      <c r="O145" s="1675">
        <f t="shared" si="18"/>
        <v>0</v>
      </c>
      <c r="P145" s="1676">
        <f t="shared" si="19"/>
        <v>0</v>
      </c>
      <c r="Q145" s="1677">
        <f t="shared" ref="Q145:Q206" si="23">E145-N145</f>
        <v>22.56</v>
      </c>
      <c r="R145" s="1678">
        <f t="shared" si="20"/>
        <v>2141.85</v>
      </c>
      <c r="S145" s="1679">
        <f t="shared" si="21"/>
        <v>1</v>
      </c>
      <c r="T145" s="1423"/>
      <c r="U145" s="1423"/>
      <c r="V145" s="1423"/>
      <c r="W145" s="1434"/>
    </row>
    <row r="146" spans="1:23" s="1417" customFormat="1" ht="13.8">
      <c r="A146" s="1416"/>
      <c r="B146" s="1654" t="s">
        <v>3851</v>
      </c>
      <c r="C146" s="1666" t="s">
        <v>3208</v>
      </c>
      <c r="D146" s="1667" t="s">
        <v>37</v>
      </c>
      <c r="E146" s="1668">
        <v>21.5</v>
      </c>
      <c r="F146" s="1669">
        <v>13.95</v>
      </c>
      <c r="G146" s="1755">
        <v>14.06</v>
      </c>
      <c r="H146" s="1670">
        <f t="shared" ref="H146:H209" si="24">ROUND(E146*F146,2)</f>
        <v>299.93</v>
      </c>
      <c r="I146" s="1670">
        <f t="shared" ref="I146:I209" si="25">ROUND(E146*G146,2)</f>
        <v>302.29000000000002</v>
      </c>
      <c r="J146" s="1671">
        <v>0</v>
      </c>
      <c r="K146" s="1671">
        <v>0</v>
      </c>
      <c r="L146" s="1895"/>
      <c r="M146" s="1673">
        <f t="shared" ref="M146:M209" si="26">+L146*G146</f>
        <v>0</v>
      </c>
      <c r="N146" s="1674">
        <f t="shared" si="22"/>
        <v>0</v>
      </c>
      <c r="O146" s="1675">
        <f t="shared" ref="O146:O209" si="27">N146*G146</f>
        <v>0</v>
      </c>
      <c r="P146" s="1676">
        <f t="shared" ref="P146:P209" si="28">+IF(D146=0,"",O146/I146)</f>
        <v>0</v>
      </c>
      <c r="Q146" s="1677">
        <f t="shared" si="23"/>
        <v>21.5</v>
      </c>
      <c r="R146" s="1678">
        <f t="shared" ref="R146:R209" si="29">ROUND((Q146*G146),2)</f>
        <v>302.29000000000002</v>
      </c>
      <c r="S146" s="1679">
        <f t="shared" ref="S146:S209" si="30">+IF(I146=0,"",R146/I146)</f>
        <v>1</v>
      </c>
      <c r="T146" s="1423"/>
      <c r="U146" s="1423"/>
      <c r="V146" s="1423"/>
      <c r="W146" s="1434"/>
    </row>
    <row r="147" spans="1:23" s="1417" customFormat="1" ht="13.8">
      <c r="A147" s="1429"/>
      <c r="B147" s="1752" t="s">
        <v>3852</v>
      </c>
      <c r="C147" s="1746" t="s">
        <v>3217</v>
      </c>
      <c r="D147" s="1667"/>
      <c r="E147" s="1668"/>
      <c r="F147" s="1669"/>
      <c r="G147" s="1755"/>
      <c r="H147" s="1670">
        <f t="shared" si="24"/>
        <v>0</v>
      </c>
      <c r="I147" s="1670">
        <f t="shared" si="25"/>
        <v>0</v>
      </c>
      <c r="J147" s="1671"/>
      <c r="K147" s="1671">
        <v>0</v>
      </c>
      <c r="L147" s="1895"/>
      <c r="M147" s="1673">
        <f t="shared" si="26"/>
        <v>0</v>
      </c>
      <c r="N147" s="1674"/>
      <c r="O147" s="1675">
        <f t="shared" si="27"/>
        <v>0</v>
      </c>
      <c r="P147" s="1676" t="str">
        <f t="shared" si="28"/>
        <v/>
      </c>
      <c r="Q147" s="1677"/>
      <c r="R147" s="1678">
        <f t="shared" si="29"/>
        <v>0</v>
      </c>
      <c r="S147" s="1679" t="str">
        <f t="shared" si="30"/>
        <v/>
      </c>
      <c r="T147" s="1423"/>
      <c r="U147" s="1423"/>
      <c r="V147" s="1423"/>
      <c r="W147" s="1434"/>
    </row>
    <row r="148" spans="1:23" s="1417" customFormat="1" ht="13.8">
      <c r="B148" s="1654" t="s">
        <v>3853</v>
      </c>
      <c r="C148" s="1666" t="s">
        <v>3219</v>
      </c>
      <c r="D148" s="1667" t="s">
        <v>38</v>
      </c>
      <c r="E148" s="1668">
        <v>10.4</v>
      </c>
      <c r="F148" s="1669">
        <v>31.46</v>
      </c>
      <c r="G148" s="1755">
        <v>32.049999999999997</v>
      </c>
      <c r="H148" s="1670">
        <f t="shared" si="24"/>
        <v>327.18</v>
      </c>
      <c r="I148" s="1670">
        <f t="shared" si="25"/>
        <v>333.32</v>
      </c>
      <c r="J148" s="1671">
        <v>0</v>
      </c>
      <c r="K148" s="1671">
        <v>0</v>
      </c>
      <c r="L148" s="1895"/>
      <c r="M148" s="1673">
        <f t="shared" si="26"/>
        <v>0</v>
      </c>
      <c r="N148" s="1674">
        <f t="shared" si="22"/>
        <v>0</v>
      </c>
      <c r="O148" s="1675">
        <f t="shared" si="27"/>
        <v>0</v>
      </c>
      <c r="P148" s="1676">
        <f t="shared" si="28"/>
        <v>0</v>
      </c>
      <c r="Q148" s="1677">
        <f t="shared" si="23"/>
        <v>10.4</v>
      </c>
      <c r="R148" s="1678">
        <f t="shared" si="29"/>
        <v>333.32</v>
      </c>
      <c r="S148" s="1679">
        <f t="shared" si="30"/>
        <v>1</v>
      </c>
      <c r="T148" s="1423"/>
      <c r="U148" s="1423"/>
      <c r="V148" s="1423"/>
      <c r="W148" s="1434"/>
    </row>
    <row r="149" spans="1:23" s="1417" customFormat="1" ht="13.8">
      <c r="A149" s="1429"/>
      <c r="B149" s="1752" t="s">
        <v>3854</v>
      </c>
      <c r="C149" s="1746" t="s">
        <v>3070</v>
      </c>
      <c r="D149" s="1667"/>
      <c r="E149" s="1668"/>
      <c r="F149" s="1669"/>
      <c r="G149" s="1755"/>
      <c r="H149" s="1670">
        <f t="shared" si="24"/>
        <v>0</v>
      </c>
      <c r="I149" s="1670">
        <f t="shared" si="25"/>
        <v>0</v>
      </c>
      <c r="J149" s="1671"/>
      <c r="K149" s="1671">
        <v>0</v>
      </c>
      <c r="L149" s="1895"/>
      <c r="M149" s="1673">
        <f t="shared" si="26"/>
        <v>0</v>
      </c>
      <c r="N149" s="1674"/>
      <c r="O149" s="1675">
        <f t="shared" si="27"/>
        <v>0</v>
      </c>
      <c r="P149" s="1676" t="str">
        <f t="shared" si="28"/>
        <v/>
      </c>
      <c r="Q149" s="1677"/>
      <c r="R149" s="1678">
        <f t="shared" si="29"/>
        <v>0</v>
      </c>
      <c r="S149" s="1679" t="str">
        <f t="shared" si="30"/>
        <v/>
      </c>
      <c r="T149" s="1423"/>
      <c r="U149" s="1423"/>
      <c r="V149" s="1423"/>
      <c r="W149" s="1434"/>
    </row>
    <row r="150" spans="1:23" s="1417" customFormat="1" ht="13.8">
      <c r="A150" s="1429"/>
      <c r="B150" s="1654" t="s">
        <v>3855</v>
      </c>
      <c r="C150" s="1666" t="s">
        <v>3856</v>
      </c>
      <c r="D150" s="1667" t="s">
        <v>36</v>
      </c>
      <c r="E150" s="1668">
        <v>10</v>
      </c>
      <c r="F150" s="1669">
        <v>1653.28</v>
      </c>
      <c r="G150" s="1755">
        <v>1668.37</v>
      </c>
      <c r="H150" s="1670">
        <f t="shared" si="24"/>
        <v>16532.8</v>
      </c>
      <c r="I150" s="1670">
        <f t="shared" si="25"/>
        <v>16683.7</v>
      </c>
      <c r="J150" s="1671">
        <v>0</v>
      </c>
      <c r="K150" s="1671">
        <v>0</v>
      </c>
      <c r="L150" s="1895"/>
      <c r="M150" s="1673">
        <f t="shared" si="26"/>
        <v>0</v>
      </c>
      <c r="N150" s="1674">
        <f t="shared" si="22"/>
        <v>0</v>
      </c>
      <c r="O150" s="1675">
        <f t="shared" si="27"/>
        <v>0</v>
      </c>
      <c r="P150" s="1676">
        <f t="shared" si="28"/>
        <v>0</v>
      </c>
      <c r="Q150" s="1677">
        <f t="shared" si="23"/>
        <v>10</v>
      </c>
      <c r="R150" s="1678">
        <f t="shared" si="29"/>
        <v>16683.7</v>
      </c>
      <c r="S150" s="1679">
        <f t="shared" si="30"/>
        <v>1</v>
      </c>
      <c r="T150" s="1423"/>
      <c r="U150" s="1423"/>
      <c r="V150" s="1423"/>
      <c r="W150" s="1434"/>
    </row>
    <row r="151" spans="1:23" s="1417" customFormat="1" ht="13.8">
      <c r="B151" s="2129" t="s">
        <v>45</v>
      </c>
      <c r="C151" s="2131" t="s">
        <v>1327</v>
      </c>
      <c r="D151" s="1667"/>
      <c r="E151" s="1668"/>
      <c r="F151" s="1669"/>
      <c r="G151" s="1755"/>
      <c r="H151" s="1670">
        <f t="shared" si="24"/>
        <v>0</v>
      </c>
      <c r="I151" s="1670"/>
      <c r="J151" s="1671"/>
      <c r="K151" s="1671"/>
      <c r="L151" s="1895"/>
      <c r="M151" s="1673"/>
      <c r="N151" s="1674"/>
      <c r="O151" s="1675"/>
      <c r="P151" s="1676"/>
      <c r="Q151" s="1677"/>
      <c r="R151" s="1678"/>
      <c r="S151" s="1679"/>
      <c r="T151" s="1423"/>
      <c r="U151" s="1423"/>
      <c r="V151" s="1423"/>
      <c r="W151" s="1434"/>
    </row>
    <row r="152" spans="1:23" s="1417" customFormat="1" ht="13.8">
      <c r="A152" s="1416"/>
      <c r="B152" s="1752" t="s">
        <v>47</v>
      </c>
      <c r="C152" s="1746" t="s">
        <v>3233</v>
      </c>
      <c r="D152" s="1667"/>
      <c r="E152" s="1668"/>
      <c r="F152" s="1669"/>
      <c r="G152" s="1755"/>
      <c r="H152" s="1670">
        <f t="shared" si="24"/>
        <v>0</v>
      </c>
      <c r="I152" s="1670"/>
      <c r="J152" s="1671"/>
      <c r="K152" s="1671"/>
      <c r="L152" s="1895"/>
      <c r="M152" s="1673"/>
      <c r="N152" s="1674"/>
      <c r="O152" s="1675"/>
      <c r="P152" s="1676"/>
      <c r="Q152" s="1677"/>
      <c r="R152" s="1678"/>
      <c r="S152" s="1679"/>
      <c r="T152" s="1423"/>
      <c r="U152" s="1423"/>
      <c r="V152" s="1423"/>
      <c r="W152" s="1434"/>
    </row>
    <row r="153" spans="1:23" s="1417" customFormat="1" ht="13.8">
      <c r="A153" s="1429"/>
      <c r="B153" s="1752" t="s">
        <v>49</v>
      </c>
      <c r="C153" s="1746" t="s">
        <v>3234</v>
      </c>
      <c r="D153" s="1667"/>
      <c r="E153" s="1668"/>
      <c r="F153" s="1669"/>
      <c r="G153" s="1755"/>
      <c r="H153" s="1670">
        <f t="shared" si="24"/>
        <v>0</v>
      </c>
      <c r="I153" s="1670"/>
      <c r="J153" s="1671"/>
      <c r="K153" s="1671"/>
      <c r="L153" s="1895"/>
      <c r="M153" s="1673"/>
      <c r="N153" s="1674"/>
      <c r="O153" s="1675"/>
      <c r="P153" s="1676"/>
      <c r="Q153" s="1677"/>
      <c r="R153" s="1678"/>
      <c r="S153" s="1679"/>
      <c r="T153" s="1423"/>
      <c r="U153" s="1423"/>
      <c r="V153" s="1423"/>
      <c r="W153" s="1434"/>
    </row>
    <row r="154" spans="1:23" s="1417" customFormat="1" ht="27.6">
      <c r="B154" s="1654" t="s">
        <v>801</v>
      </c>
      <c r="C154" s="1666" t="s">
        <v>3857</v>
      </c>
      <c r="D154" s="1667" t="s">
        <v>36</v>
      </c>
      <c r="E154" s="1668">
        <v>6</v>
      </c>
      <c r="F154" s="1669">
        <v>254.6</v>
      </c>
      <c r="G154" s="1755">
        <v>254.6</v>
      </c>
      <c r="H154" s="1670">
        <f t="shared" si="24"/>
        <v>1527.6</v>
      </c>
      <c r="I154" s="1670">
        <f t="shared" si="25"/>
        <v>1527.6</v>
      </c>
      <c r="J154" s="1671">
        <v>0</v>
      </c>
      <c r="K154" s="1671">
        <v>0</v>
      </c>
      <c r="L154" s="1895"/>
      <c r="M154" s="1673">
        <f t="shared" si="26"/>
        <v>0</v>
      </c>
      <c r="N154" s="1674">
        <f t="shared" si="22"/>
        <v>0</v>
      </c>
      <c r="O154" s="1675">
        <f t="shared" si="27"/>
        <v>0</v>
      </c>
      <c r="P154" s="1676">
        <f t="shared" si="28"/>
        <v>0</v>
      </c>
      <c r="Q154" s="1677">
        <f t="shared" si="23"/>
        <v>6</v>
      </c>
      <c r="R154" s="1678">
        <f t="shared" si="29"/>
        <v>1527.6</v>
      </c>
      <c r="S154" s="1679">
        <f t="shared" si="30"/>
        <v>1</v>
      </c>
      <c r="T154" s="1423"/>
      <c r="U154" s="1423"/>
      <c r="V154" s="1423"/>
      <c r="W154" s="1434"/>
    </row>
    <row r="155" spans="1:23" s="1417" customFormat="1" ht="13.8">
      <c r="A155" s="1416"/>
      <c r="B155" s="1654" t="s">
        <v>802</v>
      </c>
      <c r="C155" s="1666" t="s">
        <v>3236</v>
      </c>
      <c r="D155" s="1667" t="s">
        <v>36</v>
      </c>
      <c r="E155" s="1668">
        <v>3</v>
      </c>
      <c r="F155" s="1669">
        <v>198.5</v>
      </c>
      <c r="G155" s="1755">
        <v>198.5</v>
      </c>
      <c r="H155" s="1670">
        <f t="shared" si="24"/>
        <v>595.5</v>
      </c>
      <c r="I155" s="1670">
        <f t="shared" si="25"/>
        <v>595.5</v>
      </c>
      <c r="J155" s="1671">
        <v>0</v>
      </c>
      <c r="K155" s="1671">
        <v>0</v>
      </c>
      <c r="L155" s="1895"/>
      <c r="M155" s="1673">
        <f t="shared" si="26"/>
        <v>0</v>
      </c>
      <c r="N155" s="1674">
        <f t="shared" si="22"/>
        <v>0</v>
      </c>
      <c r="O155" s="1675">
        <f t="shared" si="27"/>
        <v>0</v>
      </c>
      <c r="P155" s="1676">
        <f t="shared" si="28"/>
        <v>0</v>
      </c>
      <c r="Q155" s="1677">
        <f t="shared" si="23"/>
        <v>3</v>
      </c>
      <c r="R155" s="1678">
        <f t="shared" si="29"/>
        <v>595.5</v>
      </c>
      <c r="S155" s="1679">
        <f t="shared" si="30"/>
        <v>1</v>
      </c>
      <c r="T155" s="1423"/>
      <c r="U155" s="1423"/>
      <c r="V155" s="1423"/>
      <c r="W155" s="1434"/>
    </row>
    <row r="156" spans="1:23" s="1417" customFormat="1" ht="27.6">
      <c r="A156" s="1429"/>
      <c r="B156" s="1654" t="s">
        <v>3858</v>
      </c>
      <c r="C156" s="1666" t="s">
        <v>3859</v>
      </c>
      <c r="D156" s="1667" t="s">
        <v>36</v>
      </c>
      <c r="E156" s="1668">
        <v>5</v>
      </c>
      <c r="F156" s="1669">
        <v>106.79</v>
      </c>
      <c r="G156" s="1755">
        <v>106.79</v>
      </c>
      <c r="H156" s="1670">
        <f t="shared" si="24"/>
        <v>533.95000000000005</v>
      </c>
      <c r="I156" s="1670">
        <f t="shared" si="25"/>
        <v>533.95000000000005</v>
      </c>
      <c r="J156" s="1671">
        <v>0</v>
      </c>
      <c r="K156" s="1671">
        <v>0</v>
      </c>
      <c r="L156" s="1895"/>
      <c r="M156" s="1673">
        <f t="shared" si="26"/>
        <v>0</v>
      </c>
      <c r="N156" s="1674">
        <f t="shared" si="22"/>
        <v>0</v>
      </c>
      <c r="O156" s="1675">
        <f t="shared" si="27"/>
        <v>0</v>
      </c>
      <c r="P156" s="1676">
        <f t="shared" si="28"/>
        <v>0</v>
      </c>
      <c r="Q156" s="1677">
        <f t="shared" si="23"/>
        <v>5</v>
      </c>
      <c r="R156" s="1678">
        <f t="shared" si="29"/>
        <v>533.95000000000005</v>
      </c>
      <c r="S156" s="1679">
        <f t="shared" si="30"/>
        <v>1</v>
      </c>
      <c r="T156" s="1423"/>
      <c r="U156" s="1423"/>
      <c r="V156" s="1423"/>
      <c r="W156" s="1434"/>
    </row>
    <row r="157" spans="1:23" s="1417" customFormat="1" ht="27.6">
      <c r="B157" s="1654" t="s">
        <v>3860</v>
      </c>
      <c r="C157" s="1666" t="s">
        <v>3238</v>
      </c>
      <c r="D157" s="1667" t="s">
        <v>36</v>
      </c>
      <c r="E157" s="1668">
        <v>1</v>
      </c>
      <c r="F157" s="1669">
        <v>143.5</v>
      </c>
      <c r="G157" s="1755">
        <v>143.5</v>
      </c>
      <c r="H157" s="1670">
        <f t="shared" si="24"/>
        <v>143.5</v>
      </c>
      <c r="I157" s="1670">
        <f t="shared" si="25"/>
        <v>143.5</v>
      </c>
      <c r="J157" s="1671">
        <v>0</v>
      </c>
      <c r="K157" s="1671">
        <v>0</v>
      </c>
      <c r="L157" s="1895"/>
      <c r="M157" s="1673">
        <f t="shared" si="26"/>
        <v>0</v>
      </c>
      <c r="N157" s="1674">
        <f t="shared" si="22"/>
        <v>0</v>
      </c>
      <c r="O157" s="1675">
        <f t="shared" si="27"/>
        <v>0</v>
      </c>
      <c r="P157" s="1676">
        <f t="shared" si="28"/>
        <v>0</v>
      </c>
      <c r="Q157" s="1677">
        <f t="shared" si="23"/>
        <v>1</v>
      </c>
      <c r="R157" s="1678">
        <f t="shared" si="29"/>
        <v>143.5</v>
      </c>
      <c r="S157" s="1679">
        <f t="shared" si="30"/>
        <v>1</v>
      </c>
      <c r="T157" s="1423"/>
      <c r="U157" s="1423"/>
      <c r="V157" s="1423"/>
      <c r="W157" s="1434"/>
    </row>
    <row r="158" spans="1:23" s="1417" customFormat="1" ht="27.6">
      <c r="A158" s="1429"/>
      <c r="B158" s="1654" t="s">
        <v>3861</v>
      </c>
      <c r="C158" s="1666" t="s">
        <v>3862</v>
      </c>
      <c r="D158" s="1667" t="s">
        <v>36</v>
      </c>
      <c r="E158" s="1668">
        <v>3</v>
      </c>
      <c r="F158" s="1669">
        <v>170</v>
      </c>
      <c r="G158" s="1755">
        <v>170</v>
      </c>
      <c r="H158" s="1670">
        <f t="shared" si="24"/>
        <v>510</v>
      </c>
      <c r="I158" s="1670">
        <f t="shared" si="25"/>
        <v>510</v>
      </c>
      <c r="J158" s="1671">
        <v>0</v>
      </c>
      <c r="K158" s="1671">
        <v>0</v>
      </c>
      <c r="L158" s="1895"/>
      <c r="M158" s="1673">
        <f t="shared" si="26"/>
        <v>0</v>
      </c>
      <c r="N158" s="1674">
        <f t="shared" si="22"/>
        <v>0</v>
      </c>
      <c r="O158" s="1675">
        <f t="shared" si="27"/>
        <v>0</v>
      </c>
      <c r="P158" s="1676">
        <f t="shared" si="28"/>
        <v>0</v>
      </c>
      <c r="Q158" s="1677">
        <f t="shared" si="23"/>
        <v>3</v>
      </c>
      <c r="R158" s="1678">
        <f t="shared" si="29"/>
        <v>510</v>
      </c>
      <c r="S158" s="1679">
        <f t="shared" si="30"/>
        <v>1</v>
      </c>
      <c r="T158" s="1423"/>
      <c r="U158" s="1423"/>
      <c r="V158" s="1423"/>
      <c r="W158" s="1434"/>
    </row>
    <row r="159" spans="1:23" s="1417" customFormat="1" ht="13.8">
      <c r="A159" s="1429"/>
      <c r="B159" s="1752" t="s">
        <v>50</v>
      </c>
      <c r="C159" s="1746" t="s">
        <v>3242</v>
      </c>
      <c r="D159" s="1667"/>
      <c r="E159" s="1668"/>
      <c r="F159" s="1669"/>
      <c r="G159" s="1755"/>
      <c r="H159" s="1670">
        <f t="shared" si="24"/>
        <v>0</v>
      </c>
      <c r="I159" s="1670">
        <f t="shared" si="25"/>
        <v>0</v>
      </c>
      <c r="J159" s="1671"/>
      <c r="K159" s="1671">
        <v>0</v>
      </c>
      <c r="L159" s="1895"/>
      <c r="M159" s="1673">
        <f t="shared" si="26"/>
        <v>0</v>
      </c>
      <c r="N159" s="1674"/>
      <c r="O159" s="1675">
        <f t="shared" si="27"/>
        <v>0</v>
      </c>
      <c r="P159" s="1676" t="str">
        <f t="shared" si="28"/>
        <v/>
      </c>
      <c r="Q159" s="1677"/>
      <c r="R159" s="1678">
        <f t="shared" si="29"/>
        <v>0</v>
      </c>
      <c r="S159" s="1679" t="str">
        <f t="shared" si="30"/>
        <v/>
      </c>
      <c r="T159" s="1423"/>
      <c r="U159" s="1423"/>
      <c r="V159" s="1423"/>
      <c r="W159" s="1434"/>
    </row>
    <row r="160" spans="1:23" s="1417" customFormat="1" ht="13.8">
      <c r="B160" s="1654" t="s">
        <v>803</v>
      </c>
      <c r="C160" s="1666" t="s">
        <v>3243</v>
      </c>
      <c r="D160" s="1667" t="s">
        <v>36</v>
      </c>
      <c r="E160" s="1668">
        <v>6</v>
      </c>
      <c r="F160" s="1669">
        <v>100</v>
      </c>
      <c r="G160" s="1755">
        <v>100</v>
      </c>
      <c r="H160" s="1670">
        <f t="shared" si="24"/>
        <v>600</v>
      </c>
      <c r="I160" s="1670">
        <f t="shared" si="25"/>
        <v>600</v>
      </c>
      <c r="J160" s="1671">
        <v>0</v>
      </c>
      <c r="K160" s="1671">
        <v>0</v>
      </c>
      <c r="L160" s="1895"/>
      <c r="M160" s="1673">
        <f t="shared" si="26"/>
        <v>0</v>
      </c>
      <c r="N160" s="1674">
        <f t="shared" si="22"/>
        <v>0</v>
      </c>
      <c r="O160" s="1675">
        <f t="shared" si="27"/>
        <v>0</v>
      </c>
      <c r="P160" s="1676">
        <f t="shared" si="28"/>
        <v>0</v>
      </c>
      <c r="Q160" s="1677">
        <f t="shared" si="23"/>
        <v>6</v>
      </c>
      <c r="R160" s="1678">
        <f t="shared" si="29"/>
        <v>600</v>
      </c>
      <c r="S160" s="1679">
        <f t="shared" si="30"/>
        <v>1</v>
      </c>
      <c r="T160" s="1423"/>
      <c r="U160" s="1423"/>
      <c r="V160" s="1423"/>
      <c r="W160" s="1434"/>
    </row>
    <row r="161" spans="1:23" s="1417" customFormat="1" ht="13.8">
      <c r="A161" s="1416"/>
      <c r="B161" s="1654" t="s">
        <v>804</v>
      </c>
      <c r="C161" s="1666" t="s">
        <v>3863</v>
      </c>
      <c r="D161" s="1667" t="s">
        <v>36</v>
      </c>
      <c r="E161" s="1668">
        <v>1</v>
      </c>
      <c r="F161" s="1669">
        <v>25.7</v>
      </c>
      <c r="G161" s="1755">
        <v>25.7</v>
      </c>
      <c r="H161" s="1670">
        <f t="shared" si="24"/>
        <v>25.7</v>
      </c>
      <c r="I161" s="1670">
        <f t="shared" si="25"/>
        <v>25.7</v>
      </c>
      <c r="J161" s="1671">
        <v>0</v>
      </c>
      <c r="K161" s="1671">
        <v>0</v>
      </c>
      <c r="L161" s="1895"/>
      <c r="M161" s="1673">
        <f t="shared" si="26"/>
        <v>0</v>
      </c>
      <c r="N161" s="1674">
        <f t="shared" si="22"/>
        <v>0</v>
      </c>
      <c r="O161" s="1675">
        <f t="shared" si="27"/>
        <v>0</v>
      </c>
      <c r="P161" s="1676">
        <f t="shared" si="28"/>
        <v>0</v>
      </c>
      <c r="Q161" s="1677">
        <f t="shared" si="23"/>
        <v>1</v>
      </c>
      <c r="R161" s="1678">
        <f t="shared" si="29"/>
        <v>25.7</v>
      </c>
      <c r="S161" s="1679">
        <f t="shared" si="30"/>
        <v>1</v>
      </c>
      <c r="T161" s="1423"/>
      <c r="U161" s="1423"/>
      <c r="V161" s="1423"/>
      <c r="W161" s="1434"/>
    </row>
    <row r="162" spans="1:23" s="1417" customFormat="1" ht="27.6">
      <c r="A162" s="1429"/>
      <c r="B162" s="1654" t="s">
        <v>805</v>
      </c>
      <c r="C162" s="1666" t="s">
        <v>3864</v>
      </c>
      <c r="D162" s="1667" t="s">
        <v>36</v>
      </c>
      <c r="E162" s="1668">
        <v>3</v>
      </c>
      <c r="F162" s="1669">
        <v>208.9</v>
      </c>
      <c r="G162" s="1755">
        <v>208.9</v>
      </c>
      <c r="H162" s="1670">
        <f t="shared" si="24"/>
        <v>626.70000000000005</v>
      </c>
      <c r="I162" s="1670">
        <f t="shared" si="25"/>
        <v>626.70000000000005</v>
      </c>
      <c r="J162" s="1671">
        <v>0</v>
      </c>
      <c r="K162" s="1671">
        <v>0</v>
      </c>
      <c r="L162" s="1895"/>
      <c r="M162" s="1673">
        <f t="shared" si="26"/>
        <v>0</v>
      </c>
      <c r="N162" s="1674">
        <f t="shared" si="22"/>
        <v>0</v>
      </c>
      <c r="O162" s="1675">
        <f t="shared" si="27"/>
        <v>0</v>
      </c>
      <c r="P162" s="1676">
        <f t="shared" si="28"/>
        <v>0</v>
      </c>
      <c r="Q162" s="1677">
        <f t="shared" si="23"/>
        <v>3</v>
      </c>
      <c r="R162" s="1678">
        <f t="shared" si="29"/>
        <v>626.70000000000005</v>
      </c>
      <c r="S162" s="1679">
        <f t="shared" si="30"/>
        <v>1</v>
      </c>
      <c r="T162" s="1423"/>
      <c r="U162" s="1423"/>
      <c r="V162" s="1423"/>
      <c r="W162" s="1434"/>
    </row>
    <row r="163" spans="1:23" s="1417" customFormat="1" ht="13.8">
      <c r="B163" s="1654" t="s">
        <v>806</v>
      </c>
      <c r="C163" s="1666" t="s">
        <v>3251</v>
      </c>
      <c r="D163" s="1667" t="s">
        <v>36</v>
      </c>
      <c r="E163" s="1668">
        <v>4</v>
      </c>
      <c r="F163" s="1669">
        <v>60.39</v>
      </c>
      <c r="G163" s="1755">
        <v>60.39</v>
      </c>
      <c r="H163" s="1670">
        <f t="shared" si="24"/>
        <v>241.56</v>
      </c>
      <c r="I163" s="1670">
        <f t="shared" si="25"/>
        <v>241.56</v>
      </c>
      <c r="J163" s="1671">
        <v>0</v>
      </c>
      <c r="K163" s="1671">
        <v>0</v>
      </c>
      <c r="L163" s="1895"/>
      <c r="M163" s="1673">
        <f t="shared" si="26"/>
        <v>0</v>
      </c>
      <c r="N163" s="1674">
        <f t="shared" si="22"/>
        <v>0</v>
      </c>
      <c r="O163" s="1675">
        <f t="shared" si="27"/>
        <v>0</v>
      </c>
      <c r="P163" s="1676">
        <f t="shared" si="28"/>
        <v>0</v>
      </c>
      <c r="Q163" s="1677">
        <f t="shared" si="23"/>
        <v>4</v>
      </c>
      <c r="R163" s="1678">
        <f t="shared" si="29"/>
        <v>241.56</v>
      </c>
      <c r="S163" s="1679">
        <f t="shared" si="30"/>
        <v>1</v>
      </c>
      <c r="T163" s="1423"/>
      <c r="U163" s="1423"/>
      <c r="V163" s="1423"/>
      <c r="W163" s="1434"/>
    </row>
    <row r="164" spans="1:23" s="1417" customFormat="1" ht="27.6">
      <c r="A164" s="1416"/>
      <c r="B164" s="1654" t="s">
        <v>807</v>
      </c>
      <c r="C164" s="1666" t="s">
        <v>3252</v>
      </c>
      <c r="D164" s="1667" t="s">
        <v>36</v>
      </c>
      <c r="E164" s="1668">
        <v>6</v>
      </c>
      <c r="F164" s="1669">
        <v>65.89</v>
      </c>
      <c r="G164" s="1755">
        <v>65.89</v>
      </c>
      <c r="H164" s="1670">
        <f t="shared" si="24"/>
        <v>395.34</v>
      </c>
      <c r="I164" s="1670">
        <f t="shared" si="25"/>
        <v>395.34</v>
      </c>
      <c r="J164" s="1671">
        <v>0</v>
      </c>
      <c r="K164" s="1671">
        <v>0</v>
      </c>
      <c r="L164" s="1895"/>
      <c r="M164" s="1673">
        <f t="shared" si="26"/>
        <v>0</v>
      </c>
      <c r="N164" s="1674">
        <f t="shared" si="22"/>
        <v>0</v>
      </c>
      <c r="O164" s="1675">
        <f t="shared" si="27"/>
        <v>0</v>
      </c>
      <c r="P164" s="1676">
        <f t="shared" si="28"/>
        <v>0</v>
      </c>
      <c r="Q164" s="1677">
        <f t="shared" si="23"/>
        <v>6</v>
      </c>
      <c r="R164" s="1678">
        <f t="shared" si="29"/>
        <v>395.34</v>
      </c>
      <c r="S164" s="1679">
        <f t="shared" si="30"/>
        <v>1</v>
      </c>
      <c r="T164" s="1423"/>
      <c r="U164" s="1423"/>
      <c r="V164" s="1423"/>
      <c r="W164" s="1434"/>
    </row>
    <row r="165" spans="1:23" s="1417" customFormat="1" ht="27.6">
      <c r="A165" s="1429"/>
      <c r="B165" s="1654" t="s">
        <v>808</v>
      </c>
      <c r="C165" s="1666" t="s">
        <v>3253</v>
      </c>
      <c r="D165" s="1667" t="s">
        <v>36</v>
      </c>
      <c r="E165" s="1668">
        <v>6</v>
      </c>
      <c r="F165" s="1669">
        <v>163.9</v>
      </c>
      <c r="G165" s="1755">
        <v>163.9</v>
      </c>
      <c r="H165" s="1670">
        <f t="shared" si="24"/>
        <v>983.4</v>
      </c>
      <c r="I165" s="1670">
        <f t="shared" si="25"/>
        <v>983.4</v>
      </c>
      <c r="J165" s="1671">
        <v>0</v>
      </c>
      <c r="K165" s="1671">
        <v>0</v>
      </c>
      <c r="L165" s="1895"/>
      <c r="M165" s="1673">
        <f t="shared" si="26"/>
        <v>0</v>
      </c>
      <c r="N165" s="1674">
        <f t="shared" si="22"/>
        <v>0</v>
      </c>
      <c r="O165" s="1675">
        <f t="shared" si="27"/>
        <v>0</v>
      </c>
      <c r="P165" s="1676">
        <f t="shared" si="28"/>
        <v>0</v>
      </c>
      <c r="Q165" s="1677">
        <f t="shared" si="23"/>
        <v>6</v>
      </c>
      <c r="R165" s="1678">
        <f t="shared" si="29"/>
        <v>983.4</v>
      </c>
      <c r="S165" s="1679">
        <f t="shared" si="30"/>
        <v>1</v>
      </c>
      <c r="T165" s="1423"/>
      <c r="U165" s="1423"/>
      <c r="V165" s="1423"/>
      <c r="W165" s="1434"/>
    </row>
    <row r="166" spans="1:23" s="1417" customFormat="1" ht="13.8">
      <c r="B166" s="1654" t="s">
        <v>809</v>
      </c>
      <c r="C166" s="1666" t="s">
        <v>3865</v>
      </c>
      <c r="D166" s="1667" t="s">
        <v>36</v>
      </c>
      <c r="E166" s="1668">
        <v>4</v>
      </c>
      <c r="F166" s="1669">
        <v>66.55</v>
      </c>
      <c r="G166" s="1755">
        <v>66.55</v>
      </c>
      <c r="H166" s="1670">
        <f t="shared" si="24"/>
        <v>266.2</v>
      </c>
      <c r="I166" s="1670">
        <f t="shared" si="25"/>
        <v>266.2</v>
      </c>
      <c r="J166" s="1671">
        <v>0</v>
      </c>
      <c r="K166" s="1671">
        <v>0</v>
      </c>
      <c r="L166" s="1895"/>
      <c r="M166" s="1673">
        <f t="shared" si="26"/>
        <v>0</v>
      </c>
      <c r="N166" s="1674">
        <f t="shared" si="22"/>
        <v>0</v>
      </c>
      <c r="O166" s="1675">
        <f t="shared" si="27"/>
        <v>0</v>
      </c>
      <c r="P166" s="1676">
        <f t="shared" si="28"/>
        <v>0</v>
      </c>
      <c r="Q166" s="1677">
        <f t="shared" si="23"/>
        <v>4</v>
      </c>
      <c r="R166" s="1678">
        <f t="shared" si="29"/>
        <v>266.2</v>
      </c>
      <c r="S166" s="1679">
        <f t="shared" si="30"/>
        <v>1</v>
      </c>
      <c r="T166" s="1423"/>
      <c r="U166" s="1423"/>
      <c r="V166" s="1423"/>
      <c r="W166" s="1434"/>
    </row>
    <row r="167" spans="1:23" s="1417" customFormat="1" ht="27.6">
      <c r="A167" s="1429"/>
      <c r="B167" s="1654" t="s">
        <v>3866</v>
      </c>
      <c r="C167" s="1666" t="s">
        <v>3255</v>
      </c>
      <c r="D167" s="1667" t="s">
        <v>36</v>
      </c>
      <c r="E167" s="1668">
        <v>4</v>
      </c>
      <c r="F167" s="1669">
        <v>825.99</v>
      </c>
      <c r="G167" s="1755">
        <v>825.99</v>
      </c>
      <c r="H167" s="1670">
        <f t="shared" si="24"/>
        <v>3303.96</v>
      </c>
      <c r="I167" s="1670">
        <f t="shared" si="25"/>
        <v>3303.96</v>
      </c>
      <c r="J167" s="1671">
        <v>0</v>
      </c>
      <c r="K167" s="1671">
        <v>0</v>
      </c>
      <c r="L167" s="1895"/>
      <c r="M167" s="1673">
        <f t="shared" si="26"/>
        <v>0</v>
      </c>
      <c r="N167" s="1674">
        <f t="shared" si="22"/>
        <v>0</v>
      </c>
      <c r="O167" s="1675">
        <f t="shared" si="27"/>
        <v>0</v>
      </c>
      <c r="P167" s="1676">
        <f t="shared" si="28"/>
        <v>0</v>
      </c>
      <c r="Q167" s="1677">
        <f t="shared" si="23"/>
        <v>4</v>
      </c>
      <c r="R167" s="1678">
        <f t="shared" si="29"/>
        <v>3303.96</v>
      </c>
      <c r="S167" s="1679">
        <f t="shared" si="30"/>
        <v>1</v>
      </c>
      <c r="T167" s="1423"/>
      <c r="U167" s="1423"/>
      <c r="V167" s="1423"/>
      <c r="W167" s="1434"/>
    </row>
    <row r="168" spans="1:23" s="1417" customFormat="1" ht="13.8">
      <c r="A168" s="1429"/>
      <c r="B168" s="1654" t="s">
        <v>3867</v>
      </c>
      <c r="C168" s="1666" t="s">
        <v>3256</v>
      </c>
      <c r="D168" s="1667" t="s">
        <v>36</v>
      </c>
      <c r="E168" s="1668">
        <v>6</v>
      </c>
      <c r="F168" s="1669">
        <v>89.94</v>
      </c>
      <c r="G168" s="1755">
        <v>89.94</v>
      </c>
      <c r="H168" s="1670">
        <f t="shared" si="24"/>
        <v>539.64</v>
      </c>
      <c r="I168" s="1670">
        <f t="shared" si="25"/>
        <v>539.64</v>
      </c>
      <c r="J168" s="1671">
        <v>0</v>
      </c>
      <c r="K168" s="1671">
        <v>0</v>
      </c>
      <c r="L168" s="1895"/>
      <c r="M168" s="1673">
        <f t="shared" si="26"/>
        <v>0</v>
      </c>
      <c r="N168" s="1674">
        <f t="shared" si="22"/>
        <v>0</v>
      </c>
      <c r="O168" s="1675">
        <f t="shared" si="27"/>
        <v>0</v>
      </c>
      <c r="P168" s="1676">
        <f t="shared" si="28"/>
        <v>0</v>
      </c>
      <c r="Q168" s="1677">
        <f t="shared" si="23"/>
        <v>6</v>
      </c>
      <c r="R168" s="1678">
        <f t="shared" si="29"/>
        <v>539.64</v>
      </c>
      <c r="S168" s="1679">
        <f t="shared" si="30"/>
        <v>1</v>
      </c>
      <c r="T168" s="1423"/>
      <c r="U168" s="1423"/>
      <c r="V168" s="1423"/>
      <c r="W168" s="1434"/>
    </row>
    <row r="169" spans="1:23" s="1417" customFormat="1" ht="13.8">
      <c r="B169" s="1654" t="s">
        <v>3868</v>
      </c>
      <c r="C169" s="1666" t="s">
        <v>3258</v>
      </c>
      <c r="D169" s="1667" t="s">
        <v>36</v>
      </c>
      <c r="E169" s="1668">
        <v>2</v>
      </c>
      <c r="F169" s="1669">
        <v>133.6</v>
      </c>
      <c r="G169" s="1755">
        <v>133.6</v>
      </c>
      <c r="H169" s="1670">
        <f t="shared" si="24"/>
        <v>267.2</v>
      </c>
      <c r="I169" s="1670">
        <f t="shared" si="25"/>
        <v>267.2</v>
      </c>
      <c r="J169" s="1671">
        <v>0</v>
      </c>
      <c r="K169" s="1671">
        <v>0</v>
      </c>
      <c r="L169" s="1895"/>
      <c r="M169" s="1673">
        <f t="shared" si="26"/>
        <v>0</v>
      </c>
      <c r="N169" s="1674">
        <f t="shared" si="22"/>
        <v>0</v>
      </c>
      <c r="O169" s="1675">
        <f t="shared" si="27"/>
        <v>0</v>
      </c>
      <c r="P169" s="1676">
        <f t="shared" si="28"/>
        <v>0</v>
      </c>
      <c r="Q169" s="1677">
        <f t="shared" si="23"/>
        <v>2</v>
      </c>
      <c r="R169" s="1678">
        <f t="shared" si="29"/>
        <v>267.2</v>
      </c>
      <c r="S169" s="1679">
        <f t="shared" si="30"/>
        <v>1</v>
      </c>
      <c r="T169" s="1423"/>
      <c r="U169" s="1423"/>
      <c r="V169" s="1423"/>
      <c r="W169" s="1434"/>
    </row>
    <row r="170" spans="1:23" s="1417" customFormat="1" ht="13.8">
      <c r="A170" s="1416"/>
      <c r="B170" s="1654" t="s">
        <v>3869</v>
      </c>
      <c r="C170" s="1666" t="s">
        <v>3259</v>
      </c>
      <c r="D170" s="1667" t="s">
        <v>36</v>
      </c>
      <c r="E170" s="1668">
        <v>6</v>
      </c>
      <c r="F170" s="1669">
        <v>17.489999999999998</v>
      </c>
      <c r="G170" s="1755">
        <v>17.489999999999998</v>
      </c>
      <c r="H170" s="1670">
        <f t="shared" si="24"/>
        <v>104.94</v>
      </c>
      <c r="I170" s="1670">
        <f t="shared" si="25"/>
        <v>104.94</v>
      </c>
      <c r="J170" s="1671">
        <v>0</v>
      </c>
      <c r="K170" s="1671">
        <v>0</v>
      </c>
      <c r="L170" s="1895"/>
      <c r="M170" s="1673">
        <f t="shared" si="26"/>
        <v>0</v>
      </c>
      <c r="N170" s="1674">
        <f t="shared" si="22"/>
        <v>0</v>
      </c>
      <c r="O170" s="1675">
        <f t="shared" si="27"/>
        <v>0</v>
      </c>
      <c r="P170" s="1676">
        <f t="shared" si="28"/>
        <v>0</v>
      </c>
      <c r="Q170" s="1677">
        <f t="shared" si="23"/>
        <v>6</v>
      </c>
      <c r="R170" s="1678">
        <f t="shared" si="29"/>
        <v>104.94</v>
      </c>
      <c r="S170" s="1679">
        <f t="shared" si="30"/>
        <v>1</v>
      </c>
      <c r="T170" s="1423"/>
      <c r="U170" s="1423"/>
      <c r="V170" s="1423"/>
      <c r="W170" s="1434"/>
    </row>
    <row r="171" spans="1:23" s="1417" customFormat="1" ht="13.8">
      <c r="A171" s="1429"/>
      <c r="B171" s="1654" t="s">
        <v>3870</v>
      </c>
      <c r="C171" s="1666" t="s">
        <v>3260</v>
      </c>
      <c r="D171" s="1667" t="s">
        <v>36</v>
      </c>
      <c r="E171" s="1668">
        <v>1</v>
      </c>
      <c r="F171" s="1669">
        <v>142.76</v>
      </c>
      <c r="G171" s="1755">
        <v>142.76</v>
      </c>
      <c r="H171" s="1670">
        <f t="shared" si="24"/>
        <v>142.76</v>
      </c>
      <c r="I171" s="1670">
        <f t="shared" si="25"/>
        <v>142.76</v>
      </c>
      <c r="J171" s="1671">
        <v>0</v>
      </c>
      <c r="K171" s="1671">
        <v>0</v>
      </c>
      <c r="L171" s="1895"/>
      <c r="M171" s="1673">
        <f t="shared" si="26"/>
        <v>0</v>
      </c>
      <c r="N171" s="1674">
        <f t="shared" si="22"/>
        <v>0</v>
      </c>
      <c r="O171" s="1675">
        <f t="shared" si="27"/>
        <v>0</v>
      </c>
      <c r="P171" s="1676">
        <f t="shared" si="28"/>
        <v>0</v>
      </c>
      <c r="Q171" s="1677">
        <f t="shared" si="23"/>
        <v>1</v>
      </c>
      <c r="R171" s="1678">
        <f t="shared" si="29"/>
        <v>142.76</v>
      </c>
      <c r="S171" s="1679">
        <f t="shared" si="30"/>
        <v>1</v>
      </c>
      <c r="T171" s="1423"/>
      <c r="U171" s="1423"/>
      <c r="V171" s="1423"/>
      <c r="W171" s="1434"/>
    </row>
    <row r="172" spans="1:23" s="1417" customFormat="1" ht="13.8">
      <c r="B172" s="1752" t="s">
        <v>51</v>
      </c>
      <c r="C172" s="1746" t="s">
        <v>3264</v>
      </c>
      <c r="D172" s="1667"/>
      <c r="E172" s="1668"/>
      <c r="F172" s="1669"/>
      <c r="G172" s="1755"/>
      <c r="H172" s="1670">
        <f t="shared" si="24"/>
        <v>0</v>
      </c>
      <c r="I172" s="1670">
        <f t="shared" si="25"/>
        <v>0</v>
      </c>
      <c r="J172" s="1671"/>
      <c r="K172" s="1671">
        <v>0</v>
      </c>
      <c r="L172" s="1895"/>
      <c r="M172" s="1673">
        <f t="shared" si="26"/>
        <v>0</v>
      </c>
      <c r="N172" s="1674"/>
      <c r="O172" s="1675">
        <f t="shared" si="27"/>
        <v>0</v>
      </c>
      <c r="P172" s="1676" t="str">
        <f t="shared" si="28"/>
        <v/>
      </c>
      <c r="Q172" s="1677"/>
      <c r="R172" s="1678">
        <f t="shared" si="29"/>
        <v>0</v>
      </c>
      <c r="S172" s="1679" t="str">
        <f t="shared" si="30"/>
        <v/>
      </c>
      <c r="T172" s="1423"/>
      <c r="U172" s="1423"/>
      <c r="V172" s="1423"/>
      <c r="W172" s="1434"/>
    </row>
    <row r="173" spans="1:23" s="1417" customFormat="1" ht="13.8">
      <c r="A173" s="1416"/>
      <c r="B173" s="1654" t="s">
        <v>810</v>
      </c>
      <c r="C173" s="1666" t="s">
        <v>3265</v>
      </c>
      <c r="D173" s="1667" t="s">
        <v>36</v>
      </c>
      <c r="E173" s="1668">
        <v>19</v>
      </c>
      <c r="F173" s="1669">
        <v>134.51</v>
      </c>
      <c r="G173" s="1755">
        <v>140.08000000000001</v>
      </c>
      <c r="H173" s="1670">
        <f t="shared" si="24"/>
        <v>2555.69</v>
      </c>
      <c r="I173" s="1670">
        <f t="shared" si="25"/>
        <v>2661.52</v>
      </c>
      <c r="J173" s="1671">
        <v>0</v>
      </c>
      <c r="K173" s="1671">
        <v>0</v>
      </c>
      <c r="L173" s="1895"/>
      <c r="M173" s="1673">
        <f t="shared" si="26"/>
        <v>0</v>
      </c>
      <c r="N173" s="1674">
        <f t="shared" si="22"/>
        <v>0</v>
      </c>
      <c r="O173" s="1675">
        <f t="shared" si="27"/>
        <v>0</v>
      </c>
      <c r="P173" s="1676">
        <f t="shared" si="28"/>
        <v>0</v>
      </c>
      <c r="Q173" s="1677">
        <f t="shared" si="23"/>
        <v>19</v>
      </c>
      <c r="R173" s="1678">
        <f t="shared" si="29"/>
        <v>2661.52</v>
      </c>
      <c r="S173" s="1679">
        <f t="shared" si="30"/>
        <v>1</v>
      </c>
      <c r="T173" s="1423"/>
      <c r="U173" s="1423"/>
      <c r="V173" s="1423"/>
      <c r="W173" s="1434"/>
    </row>
    <row r="174" spans="1:23" s="1417" customFormat="1" ht="13.8">
      <c r="A174" s="1429"/>
      <c r="B174" s="1752" t="s">
        <v>277</v>
      </c>
      <c r="C174" s="1746" t="s">
        <v>3266</v>
      </c>
      <c r="D174" s="1667"/>
      <c r="E174" s="1668"/>
      <c r="F174" s="1669"/>
      <c r="G174" s="1755"/>
      <c r="H174" s="1670">
        <f t="shared" si="24"/>
        <v>0</v>
      </c>
      <c r="I174" s="1670">
        <f t="shared" si="25"/>
        <v>0</v>
      </c>
      <c r="J174" s="1671"/>
      <c r="K174" s="1671">
        <v>0</v>
      </c>
      <c r="L174" s="1895"/>
      <c r="M174" s="1673">
        <f t="shared" si="26"/>
        <v>0</v>
      </c>
      <c r="N174" s="1674"/>
      <c r="O174" s="1675">
        <f t="shared" si="27"/>
        <v>0</v>
      </c>
      <c r="P174" s="1676" t="str">
        <f t="shared" si="28"/>
        <v/>
      </c>
      <c r="Q174" s="1677"/>
      <c r="R174" s="1678">
        <f t="shared" si="29"/>
        <v>0</v>
      </c>
      <c r="S174" s="1679" t="str">
        <f t="shared" si="30"/>
        <v/>
      </c>
      <c r="T174" s="1423"/>
      <c r="U174" s="1423"/>
      <c r="V174" s="1423"/>
      <c r="W174" s="1434"/>
    </row>
    <row r="175" spans="1:23" s="1417" customFormat="1" ht="13.8">
      <c r="B175" s="1654" t="s">
        <v>811</v>
      </c>
      <c r="C175" s="1666" t="s">
        <v>3267</v>
      </c>
      <c r="D175" s="1667" t="s">
        <v>36</v>
      </c>
      <c r="E175" s="1668">
        <v>16</v>
      </c>
      <c r="F175" s="1669">
        <v>37.369999999999997</v>
      </c>
      <c r="G175" s="1755">
        <v>38.909999999999997</v>
      </c>
      <c r="H175" s="1670">
        <f t="shared" si="24"/>
        <v>597.91999999999996</v>
      </c>
      <c r="I175" s="1670">
        <f t="shared" si="25"/>
        <v>622.55999999999995</v>
      </c>
      <c r="J175" s="1671">
        <v>0</v>
      </c>
      <c r="K175" s="1671">
        <v>0</v>
      </c>
      <c r="L175" s="1895"/>
      <c r="M175" s="1673">
        <f t="shared" si="26"/>
        <v>0</v>
      </c>
      <c r="N175" s="1674">
        <f t="shared" si="22"/>
        <v>0</v>
      </c>
      <c r="O175" s="1675">
        <f t="shared" si="27"/>
        <v>0</v>
      </c>
      <c r="P175" s="1676">
        <f t="shared" si="28"/>
        <v>0</v>
      </c>
      <c r="Q175" s="1677">
        <f t="shared" si="23"/>
        <v>16</v>
      </c>
      <c r="R175" s="1678">
        <f t="shared" si="29"/>
        <v>622.55999999999995</v>
      </c>
      <c r="S175" s="1679">
        <f t="shared" si="30"/>
        <v>1</v>
      </c>
      <c r="T175" s="1423"/>
      <c r="U175" s="1423"/>
      <c r="V175" s="1423"/>
      <c r="W175" s="1434"/>
    </row>
    <row r="176" spans="1:23" s="1417" customFormat="1" ht="13.8">
      <c r="A176" s="1429"/>
      <c r="B176" s="2259" t="s">
        <v>475</v>
      </c>
      <c r="C176" s="2260" t="s">
        <v>3268</v>
      </c>
      <c r="D176" s="1667"/>
      <c r="E176" s="1668"/>
      <c r="F176" s="1669"/>
      <c r="G176" s="1755"/>
      <c r="H176" s="1670">
        <f t="shared" si="24"/>
        <v>0</v>
      </c>
      <c r="I176" s="1670">
        <f t="shared" si="25"/>
        <v>0</v>
      </c>
      <c r="J176" s="1671"/>
      <c r="K176" s="1671">
        <v>0</v>
      </c>
      <c r="L176" s="1895"/>
      <c r="M176" s="1673">
        <f t="shared" si="26"/>
        <v>0</v>
      </c>
      <c r="N176" s="1674"/>
      <c r="O176" s="1675">
        <f t="shared" si="27"/>
        <v>0</v>
      </c>
      <c r="P176" s="1676" t="str">
        <f t="shared" si="28"/>
        <v/>
      </c>
      <c r="Q176" s="1677"/>
      <c r="R176" s="1678">
        <f t="shared" si="29"/>
        <v>0</v>
      </c>
      <c r="S176" s="1679" t="str">
        <f t="shared" si="30"/>
        <v/>
      </c>
      <c r="T176" s="1423"/>
      <c r="U176" s="1423"/>
      <c r="V176" s="1423"/>
      <c r="W176" s="1434"/>
    </row>
    <row r="177" spans="1:23" s="1417" customFormat="1" ht="13.8">
      <c r="A177" s="1429"/>
      <c r="B177" s="1752" t="s">
        <v>476</v>
      </c>
      <c r="C177" s="1746" t="s">
        <v>3269</v>
      </c>
      <c r="D177" s="1667"/>
      <c r="E177" s="1668"/>
      <c r="F177" s="1669"/>
      <c r="G177" s="1755"/>
      <c r="H177" s="1670">
        <f t="shared" si="24"/>
        <v>0</v>
      </c>
      <c r="I177" s="1670">
        <f t="shared" si="25"/>
        <v>0</v>
      </c>
      <c r="J177" s="1671"/>
      <c r="K177" s="1671">
        <v>0</v>
      </c>
      <c r="L177" s="1895"/>
      <c r="M177" s="1673">
        <f t="shared" si="26"/>
        <v>0</v>
      </c>
      <c r="N177" s="1674"/>
      <c r="O177" s="1675">
        <f t="shared" si="27"/>
        <v>0</v>
      </c>
      <c r="P177" s="1676" t="str">
        <f t="shared" si="28"/>
        <v/>
      </c>
      <c r="Q177" s="1677"/>
      <c r="R177" s="1678">
        <f t="shared" si="29"/>
        <v>0</v>
      </c>
      <c r="S177" s="1679" t="str">
        <f t="shared" si="30"/>
        <v/>
      </c>
      <c r="T177" s="1423"/>
      <c r="U177" s="1423"/>
      <c r="V177" s="1423"/>
      <c r="W177" s="1434"/>
    </row>
    <row r="178" spans="1:23" s="1417" customFormat="1" ht="27.6">
      <c r="B178" s="1654" t="s">
        <v>842</v>
      </c>
      <c r="C178" s="1666" t="s">
        <v>3871</v>
      </c>
      <c r="D178" s="1667" t="s">
        <v>1452</v>
      </c>
      <c r="E178" s="1668">
        <v>27</v>
      </c>
      <c r="F178" s="1669">
        <v>92.74</v>
      </c>
      <c r="G178" s="1755">
        <v>96.22</v>
      </c>
      <c r="H178" s="1670">
        <f t="shared" si="24"/>
        <v>2503.98</v>
      </c>
      <c r="I178" s="1670">
        <f t="shared" si="25"/>
        <v>2597.94</v>
      </c>
      <c r="J178" s="1671">
        <v>27</v>
      </c>
      <c r="K178" s="1671">
        <v>2597.94</v>
      </c>
      <c r="L178" s="1895"/>
      <c r="M178" s="1673">
        <f t="shared" si="26"/>
        <v>0</v>
      </c>
      <c r="N178" s="1674">
        <f t="shared" si="22"/>
        <v>27</v>
      </c>
      <c r="O178" s="1675">
        <f t="shared" si="27"/>
        <v>2597.94</v>
      </c>
      <c r="P178" s="1676">
        <f t="shared" si="28"/>
        <v>1</v>
      </c>
      <c r="Q178" s="1677">
        <f t="shared" si="23"/>
        <v>0</v>
      </c>
      <c r="R178" s="1678">
        <f t="shared" si="29"/>
        <v>0</v>
      </c>
      <c r="S178" s="1679">
        <f t="shared" si="30"/>
        <v>0</v>
      </c>
      <c r="T178" s="1423"/>
      <c r="U178" s="1423"/>
      <c r="V178" s="1423"/>
      <c r="W178" s="1434"/>
    </row>
    <row r="179" spans="1:23" s="1417" customFormat="1" ht="13.8">
      <c r="A179" s="1416"/>
      <c r="B179" s="1654" t="s">
        <v>843</v>
      </c>
      <c r="C179" s="1666" t="s">
        <v>3872</v>
      </c>
      <c r="D179" s="1667" t="s">
        <v>1452</v>
      </c>
      <c r="E179" s="1668">
        <v>2</v>
      </c>
      <c r="F179" s="1669">
        <v>96.92</v>
      </c>
      <c r="G179" s="1755">
        <v>100.4</v>
      </c>
      <c r="H179" s="1670">
        <f t="shared" si="24"/>
        <v>193.84</v>
      </c>
      <c r="I179" s="1670">
        <f t="shared" si="25"/>
        <v>200.8</v>
      </c>
      <c r="J179" s="1671">
        <v>2</v>
      </c>
      <c r="K179" s="1671">
        <v>200.8</v>
      </c>
      <c r="L179" s="1895"/>
      <c r="M179" s="1673">
        <f t="shared" si="26"/>
        <v>0</v>
      </c>
      <c r="N179" s="1674">
        <f t="shared" si="22"/>
        <v>2</v>
      </c>
      <c r="O179" s="1675">
        <f t="shared" si="27"/>
        <v>200.8</v>
      </c>
      <c r="P179" s="1676">
        <f t="shared" si="28"/>
        <v>1</v>
      </c>
      <c r="Q179" s="1677">
        <f t="shared" si="23"/>
        <v>0</v>
      </c>
      <c r="R179" s="1678">
        <f t="shared" si="29"/>
        <v>0</v>
      </c>
      <c r="S179" s="1679">
        <f t="shared" si="30"/>
        <v>0</v>
      </c>
      <c r="T179" s="1423"/>
      <c r="U179" s="1423"/>
      <c r="V179" s="1423"/>
      <c r="W179" s="1434"/>
    </row>
    <row r="180" spans="1:23" s="1417" customFormat="1" ht="13.8">
      <c r="A180" s="1429"/>
      <c r="B180" s="1752" t="s">
        <v>477</v>
      </c>
      <c r="C180" s="1746" t="s">
        <v>3873</v>
      </c>
      <c r="D180" s="1667"/>
      <c r="E180" s="1668"/>
      <c r="F180" s="1669"/>
      <c r="G180" s="1755"/>
      <c r="H180" s="1670">
        <f t="shared" si="24"/>
        <v>0</v>
      </c>
      <c r="I180" s="1670">
        <f t="shared" si="25"/>
        <v>0</v>
      </c>
      <c r="J180" s="1671"/>
      <c r="K180" s="1671">
        <v>0</v>
      </c>
      <c r="L180" s="1895"/>
      <c r="M180" s="1673">
        <f t="shared" si="26"/>
        <v>0</v>
      </c>
      <c r="N180" s="1674"/>
      <c r="O180" s="1675">
        <f t="shared" si="27"/>
        <v>0</v>
      </c>
      <c r="P180" s="1676" t="str">
        <f t="shared" si="28"/>
        <v/>
      </c>
      <c r="Q180" s="1677"/>
      <c r="R180" s="1678">
        <f t="shared" si="29"/>
        <v>0</v>
      </c>
      <c r="S180" s="1679" t="str">
        <f t="shared" si="30"/>
        <v/>
      </c>
      <c r="T180" s="1423"/>
      <c r="U180" s="1423"/>
      <c r="V180" s="1423"/>
      <c r="W180" s="1434"/>
    </row>
    <row r="181" spans="1:23" s="1417" customFormat="1" ht="13.8">
      <c r="B181" s="1654" t="s">
        <v>844</v>
      </c>
      <c r="C181" s="1666" t="s">
        <v>3273</v>
      </c>
      <c r="D181" s="1667" t="s">
        <v>38</v>
      </c>
      <c r="E181" s="1668">
        <v>40</v>
      </c>
      <c r="F181" s="1669">
        <v>18.89</v>
      </c>
      <c r="G181" s="1755">
        <v>19.329999999999998</v>
      </c>
      <c r="H181" s="1670">
        <f t="shared" si="24"/>
        <v>755.6</v>
      </c>
      <c r="I181" s="1670">
        <f t="shared" si="25"/>
        <v>773.2</v>
      </c>
      <c r="J181" s="1671">
        <v>40</v>
      </c>
      <c r="K181" s="1671">
        <v>773.19999999999993</v>
      </c>
      <c r="L181" s="1895"/>
      <c r="M181" s="1673">
        <f t="shared" si="26"/>
        <v>0</v>
      </c>
      <c r="N181" s="1674">
        <f t="shared" si="22"/>
        <v>40</v>
      </c>
      <c r="O181" s="1675">
        <f t="shared" si="27"/>
        <v>773.19999999999993</v>
      </c>
      <c r="P181" s="1676">
        <f t="shared" si="28"/>
        <v>0.99999999999999989</v>
      </c>
      <c r="Q181" s="1677">
        <f t="shared" si="23"/>
        <v>0</v>
      </c>
      <c r="R181" s="1678">
        <f t="shared" si="29"/>
        <v>0</v>
      </c>
      <c r="S181" s="1679">
        <f t="shared" si="30"/>
        <v>0</v>
      </c>
      <c r="T181" s="1423"/>
      <c r="U181" s="1423"/>
      <c r="V181" s="1423"/>
      <c r="W181" s="1434"/>
    </row>
    <row r="182" spans="1:23" s="1417" customFormat="1" ht="13.8">
      <c r="A182" s="1416"/>
      <c r="B182" s="1654" t="s">
        <v>845</v>
      </c>
      <c r="C182" s="1666" t="s">
        <v>3274</v>
      </c>
      <c r="D182" s="1667" t="s">
        <v>38</v>
      </c>
      <c r="E182" s="1668">
        <v>50</v>
      </c>
      <c r="F182" s="1669">
        <v>15.08</v>
      </c>
      <c r="G182" s="1755">
        <v>15.52</v>
      </c>
      <c r="H182" s="1670">
        <f t="shared" si="24"/>
        <v>754</v>
      </c>
      <c r="I182" s="1670">
        <f t="shared" si="25"/>
        <v>776</v>
      </c>
      <c r="J182" s="1671">
        <v>50</v>
      </c>
      <c r="K182" s="1671">
        <v>776</v>
      </c>
      <c r="L182" s="1895"/>
      <c r="M182" s="1673">
        <f t="shared" si="26"/>
        <v>0</v>
      </c>
      <c r="N182" s="1674">
        <f t="shared" si="22"/>
        <v>50</v>
      </c>
      <c r="O182" s="1675">
        <f t="shared" si="27"/>
        <v>776</v>
      </c>
      <c r="P182" s="1676">
        <f t="shared" si="28"/>
        <v>1</v>
      </c>
      <c r="Q182" s="1677">
        <f t="shared" si="23"/>
        <v>0</v>
      </c>
      <c r="R182" s="1678">
        <f t="shared" si="29"/>
        <v>0</v>
      </c>
      <c r="S182" s="1679">
        <f t="shared" si="30"/>
        <v>0</v>
      </c>
      <c r="T182" s="1423"/>
      <c r="U182" s="1423"/>
      <c r="V182" s="1423"/>
      <c r="W182" s="1434"/>
    </row>
    <row r="183" spans="1:23" s="1417" customFormat="1" ht="13.8">
      <c r="A183" s="1429"/>
      <c r="B183" s="1654" t="s">
        <v>846</v>
      </c>
      <c r="C183" s="1666" t="s">
        <v>3275</v>
      </c>
      <c r="D183" s="1667" t="s">
        <v>38</v>
      </c>
      <c r="E183" s="1668">
        <v>32</v>
      </c>
      <c r="F183" s="1669">
        <v>16.25</v>
      </c>
      <c r="G183" s="1755">
        <v>16.690000000000001</v>
      </c>
      <c r="H183" s="1670">
        <f t="shared" si="24"/>
        <v>520</v>
      </c>
      <c r="I183" s="1670">
        <f t="shared" si="25"/>
        <v>534.08000000000004</v>
      </c>
      <c r="J183" s="1671">
        <v>0</v>
      </c>
      <c r="K183" s="1671">
        <v>0</v>
      </c>
      <c r="L183" s="1895"/>
      <c r="M183" s="1673">
        <f t="shared" si="26"/>
        <v>0</v>
      </c>
      <c r="N183" s="1674">
        <f t="shared" si="22"/>
        <v>0</v>
      </c>
      <c r="O183" s="1675">
        <f t="shared" si="27"/>
        <v>0</v>
      </c>
      <c r="P183" s="1676">
        <f t="shared" si="28"/>
        <v>0</v>
      </c>
      <c r="Q183" s="1677">
        <f t="shared" si="23"/>
        <v>32</v>
      </c>
      <c r="R183" s="1678">
        <f t="shared" si="29"/>
        <v>534.08000000000004</v>
      </c>
      <c r="S183" s="1679">
        <f t="shared" si="30"/>
        <v>1</v>
      </c>
      <c r="T183" s="1423"/>
      <c r="U183" s="1423"/>
      <c r="V183" s="1423"/>
      <c r="W183" s="1434"/>
    </row>
    <row r="184" spans="1:23" s="1417" customFormat="1" ht="13.8">
      <c r="B184" s="1654" t="s">
        <v>847</v>
      </c>
      <c r="C184" s="1666" t="s">
        <v>3276</v>
      </c>
      <c r="D184" s="1667" t="s">
        <v>38</v>
      </c>
      <c r="E184" s="1668">
        <v>9</v>
      </c>
      <c r="F184" s="1669">
        <v>14.11</v>
      </c>
      <c r="G184" s="1755">
        <v>14.55</v>
      </c>
      <c r="H184" s="1670">
        <f t="shared" si="24"/>
        <v>126.99</v>
      </c>
      <c r="I184" s="1670">
        <f t="shared" si="25"/>
        <v>130.94999999999999</v>
      </c>
      <c r="J184" s="1671">
        <v>0</v>
      </c>
      <c r="K184" s="1671">
        <v>0</v>
      </c>
      <c r="L184" s="1895"/>
      <c r="M184" s="1673">
        <f t="shared" si="26"/>
        <v>0</v>
      </c>
      <c r="N184" s="1674">
        <f t="shared" si="22"/>
        <v>0</v>
      </c>
      <c r="O184" s="1675">
        <f t="shared" si="27"/>
        <v>0</v>
      </c>
      <c r="P184" s="1676">
        <f t="shared" si="28"/>
        <v>0</v>
      </c>
      <c r="Q184" s="1677">
        <f t="shared" si="23"/>
        <v>9</v>
      </c>
      <c r="R184" s="1678">
        <f t="shared" si="29"/>
        <v>130.94999999999999</v>
      </c>
      <c r="S184" s="1679">
        <f t="shared" si="30"/>
        <v>1</v>
      </c>
      <c r="T184" s="1423"/>
      <c r="U184" s="1423"/>
      <c r="V184" s="1423"/>
      <c r="W184" s="1434"/>
    </row>
    <row r="185" spans="1:23" s="1417" customFormat="1" ht="13.8">
      <c r="A185" s="1429"/>
      <c r="B185" s="1752" t="s">
        <v>478</v>
      </c>
      <c r="C185" s="1746" t="s">
        <v>3874</v>
      </c>
      <c r="D185" s="1667"/>
      <c r="E185" s="1668"/>
      <c r="F185" s="1669"/>
      <c r="G185" s="1755"/>
      <c r="H185" s="1670">
        <f t="shared" si="24"/>
        <v>0</v>
      </c>
      <c r="I185" s="1670">
        <f t="shared" si="25"/>
        <v>0</v>
      </c>
      <c r="J185" s="1671"/>
      <c r="K185" s="1671">
        <v>0</v>
      </c>
      <c r="L185" s="1895"/>
      <c r="M185" s="1673">
        <f t="shared" si="26"/>
        <v>0</v>
      </c>
      <c r="N185" s="1674"/>
      <c r="O185" s="1675">
        <f t="shared" si="27"/>
        <v>0</v>
      </c>
      <c r="P185" s="1676" t="str">
        <f t="shared" si="28"/>
        <v/>
      </c>
      <c r="Q185" s="1677"/>
      <c r="R185" s="1678">
        <f t="shared" si="29"/>
        <v>0</v>
      </c>
      <c r="S185" s="1679" t="str">
        <f t="shared" si="30"/>
        <v/>
      </c>
      <c r="T185" s="1423"/>
      <c r="U185" s="1423"/>
      <c r="V185" s="1423"/>
      <c r="W185" s="1434"/>
    </row>
    <row r="186" spans="1:23" s="1417" customFormat="1" ht="13.8">
      <c r="A186" s="1429"/>
      <c r="B186" s="1654" t="s">
        <v>851</v>
      </c>
      <c r="C186" s="1666" t="s">
        <v>3281</v>
      </c>
      <c r="D186" s="1667" t="s">
        <v>36</v>
      </c>
      <c r="E186" s="1668">
        <v>17</v>
      </c>
      <c r="F186" s="1669">
        <v>15.18</v>
      </c>
      <c r="G186" s="1755">
        <v>15.63</v>
      </c>
      <c r="H186" s="1670">
        <f t="shared" si="24"/>
        <v>258.06</v>
      </c>
      <c r="I186" s="1670">
        <f t="shared" si="25"/>
        <v>265.70999999999998</v>
      </c>
      <c r="J186" s="1671">
        <v>17</v>
      </c>
      <c r="K186" s="1671">
        <v>265.71000000000004</v>
      </c>
      <c r="L186" s="1895"/>
      <c r="M186" s="1673">
        <f t="shared" si="26"/>
        <v>0</v>
      </c>
      <c r="N186" s="1674">
        <f t="shared" si="22"/>
        <v>17</v>
      </c>
      <c r="O186" s="1675">
        <f t="shared" si="27"/>
        <v>265.71000000000004</v>
      </c>
      <c r="P186" s="1676">
        <f t="shared" si="28"/>
        <v>1.0000000000000002</v>
      </c>
      <c r="Q186" s="1677">
        <f t="shared" si="23"/>
        <v>0</v>
      </c>
      <c r="R186" s="1678">
        <f t="shared" si="29"/>
        <v>0</v>
      </c>
      <c r="S186" s="1679">
        <f t="shared" si="30"/>
        <v>0</v>
      </c>
      <c r="T186" s="1423"/>
      <c r="U186" s="1423"/>
      <c r="V186" s="1423"/>
      <c r="W186" s="1434"/>
    </row>
    <row r="187" spans="1:23" s="1417" customFormat="1" ht="13.8">
      <c r="B187" s="1654" t="s">
        <v>3875</v>
      </c>
      <c r="C187" s="1666" t="s">
        <v>3282</v>
      </c>
      <c r="D187" s="1667" t="s">
        <v>36</v>
      </c>
      <c r="E187" s="1668">
        <v>6</v>
      </c>
      <c r="F187" s="1669">
        <v>15.98</v>
      </c>
      <c r="G187" s="1755">
        <v>16.43</v>
      </c>
      <c r="H187" s="1670">
        <f t="shared" si="24"/>
        <v>95.88</v>
      </c>
      <c r="I187" s="1670">
        <f t="shared" si="25"/>
        <v>98.58</v>
      </c>
      <c r="J187" s="1671">
        <v>6</v>
      </c>
      <c r="K187" s="1671">
        <v>98.58</v>
      </c>
      <c r="L187" s="1895"/>
      <c r="M187" s="1673">
        <f t="shared" si="26"/>
        <v>0</v>
      </c>
      <c r="N187" s="1674">
        <f t="shared" si="22"/>
        <v>6</v>
      </c>
      <c r="O187" s="1675">
        <f t="shared" si="27"/>
        <v>98.58</v>
      </c>
      <c r="P187" s="1676">
        <f t="shared" si="28"/>
        <v>1</v>
      </c>
      <c r="Q187" s="1677">
        <f t="shared" si="23"/>
        <v>0</v>
      </c>
      <c r="R187" s="1678">
        <f t="shared" si="29"/>
        <v>0</v>
      </c>
      <c r="S187" s="1679">
        <f t="shared" si="30"/>
        <v>0</v>
      </c>
      <c r="T187" s="1423"/>
      <c r="U187" s="1423"/>
      <c r="V187" s="1423"/>
      <c r="W187" s="1434"/>
    </row>
    <row r="188" spans="1:23" s="1417" customFormat="1" ht="13.8">
      <c r="A188" s="1416"/>
      <c r="B188" s="1654" t="s">
        <v>3876</v>
      </c>
      <c r="C188" s="1666" t="s">
        <v>3283</v>
      </c>
      <c r="D188" s="1667" t="s">
        <v>36</v>
      </c>
      <c r="E188" s="1668">
        <v>6</v>
      </c>
      <c r="F188" s="1669">
        <v>64.319999999999993</v>
      </c>
      <c r="G188" s="1755">
        <v>64.77</v>
      </c>
      <c r="H188" s="1670">
        <f t="shared" si="24"/>
        <v>385.92</v>
      </c>
      <c r="I188" s="1670">
        <f t="shared" si="25"/>
        <v>388.62</v>
      </c>
      <c r="J188" s="1671">
        <v>6</v>
      </c>
      <c r="K188" s="1671">
        <v>388.62</v>
      </c>
      <c r="L188" s="1895"/>
      <c r="M188" s="1673">
        <f t="shared" si="26"/>
        <v>0</v>
      </c>
      <c r="N188" s="1674">
        <f t="shared" si="22"/>
        <v>6</v>
      </c>
      <c r="O188" s="1675">
        <f t="shared" si="27"/>
        <v>388.62</v>
      </c>
      <c r="P188" s="1676">
        <f t="shared" si="28"/>
        <v>1</v>
      </c>
      <c r="Q188" s="1677">
        <f t="shared" si="23"/>
        <v>0</v>
      </c>
      <c r="R188" s="1678">
        <f t="shared" si="29"/>
        <v>0</v>
      </c>
      <c r="S188" s="1679">
        <f t="shared" si="30"/>
        <v>0</v>
      </c>
      <c r="T188" s="1423"/>
      <c r="U188" s="1423"/>
      <c r="V188" s="1423"/>
      <c r="W188" s="1434"/>
    </row>
    <row r="189" spans="1:23" s="1417" customFormat="1" ht="13.8">
      <c r="A189" s="1429"/>
      <c r="B189" s="1654" t="s">
        <v>3877</v>
      </c>
      <c r="C189" s="1666" t="s">
        <v>3287</v>
      </c>
      <c r="D189" s="1667" t="s">
        <v>36</v>
      </c>
      <c r="E189" s="1668">
        <v>12</v>
      </c>
      <c r="F189" s="1669">
        <v>15.68</v>
      </c>
      <c r="G189" s="1755">
        <v>16.13</v>
      </c>
      <c r="H189" s="1670">
        <f t="shared" si="24"/>
        <v>188.16</v>
      </c>
      <c r="I189" s="1670">
        <f t="shared" si="25"/>
        <v>193.56</v>
      </c>
      <c r="J189" s="1671">
        <v>10</v>
      </c>
      <c r="K189" s="1671">
        <v>161.29999999999998</v>
      </c>
      <c r="L189" s="1895">
        <v>2</v>
      </c>
      <c r="M189" s="1673">
        <f t="shared" si="26"/>
        <v>32.26</v>
      </c>
      <c r="N189" s="1674">
        <f t="shared" si="22"/>
        <v>12</v>
      </c>
      <c r="O189" s="1675">
        <f t="shared" si="27"/>
        <v>193.56</v>
      </c>
      <c r="P189" s="1676">
        <f t="shared" si="28"/>
        <v>1</v>
      </c>
      <c r="Q189" s="1677">
        <f t="shared" si="23"/>
        <v>0</v>
      </c>
      <c r="R189" s="1678">
        <f t="shared" si="29"/>
        <v>0</v>
      </c>
      <c r="S189" s="1679">
        <f t="shared" si="30"/>
        <v>0</v>
      </c>
      <c r="T189" s="1423"/>
      <c r="U189" s="1423"/>
      <c r="V189" s="1423"/>
      <c r="W189" s="1434"/>
    </row>
    <row r="190" spans="1:23" s="1417" customFormat="1" ht="13.8">
      <c r="B190" s="1654" t="s">
        <v>3878</v>
      </c>
      <c r="C190" s="1666" t="s">
        <v>3288</v>
      </c>
      <c r="D190" s="1667" t="s">
        <v>36</v>
      </c>
      <c r="E190" s="1668">
        <v>5</v>
      </c>
      <c r="F190" s="1669">
        <v>16.579999999999998</v>
      </c>
      <c r="G190" s="1755">
        <v>17.03</v>
      </c>
      <c r="H190" s="1670">
        <f t="shared" si="24"/>
        <v>82.9</v>
      </c>
      <c r="I190" s="1670">
        <f t="shared" si="25"/>
        <v>85.15</v>
      </c>
      <c r="J190" s="1671">
        <v>4</v>
      </c>
      <c r="K190" s="1671">
        <v>68.12</v>
      </c>
      <c r="L190" s="1895">
        <v>1</v>
      </c>
      <c r="M190" s="1673">
        <f t="shared" si="26"/>
        <v>17.03</v>
      </c>
      <c r="N190" s="1674">
        <f t="shared" si="22"/>
        <v>5</v>
      </c>
      <c r="O190" s="1675">
        <f t="shared" si="27"/>
        <v>85.15</v>
      </c>
      <c r="P190" s="1676">
        <f t="shared" si="28"/>
        <v>1</v>
      </c>
      <c r="Q190" s="1677">
        <f t="shared" si="23"/>
        <v>0</v>
      </c>
      <c r="R190" s="1678">
        <f t="shared" si="29"/>
        <v>0</v>
      </c>
      <c r="S190" s="1679">
        <f t="shared" si="30"/>
        <v>0</v>
      </c>
      <c r="T190" s="1423"/>
      <c r="U190" s="1423"/>
      <c r="V190" s="1423"/>
      <c r="W190" s="1434"/>
    </row>
    <row r="191" spans="1:23" s="1417" customFormat="1" ht="13.8">
      <c r="A191" s="1416"/>
      <c r="B191" s="1654" t="s">
        <v>3879</v>
      </c>
      <c r="C191" s="1666" t="s">
        <v>3289</v>
      </c>
      <c r="D191" s="1667" t="s">
        <v>36</v>
      </c>
      <c r="E191" s="1668">
        <v>7</v>
      </c>
      <c r="F191" s="1669">
        <v>18.38</v>
      </c>
      <c r="G191" s="1755">
        <v>18.829999999999998</v>
      </c>
      <c r="H191" s="1670">
        <f t="shared" si="24"/>
        <v>128.66</v>
      </c>
      <c r="I191" s="1670">
        <f t="shared" si="25"/>
        <v>131.81</v>
      </c>
      <c r="J191" s="1671">
        <v>0</v>
      </c>
      <c r="K191" s="1671">
        <v>0</v>
      </c>
      <c r="L191" s="1895"/>
      <c r="M191" s="1673">
        <f t="shared" si="26"/>
        <v>0</v>
      </c>
      <c r="N191" s="1674">
        <f t="shared" si="22"/>
        <v>0</v>
      </c>
      <c r="O191" s="1675">
        <f t="shared" si="27"/>
        <v>0</v>
      </c>
      <c r="P191" s="1676">
        <f t="shared" si="28"/>
        <v>0</v>
      </c>
      <c r="Q191" s="1677">
        <f t="shared" si="23"/>
        <v>7</v>
      </c>
      <c r="R191" s="1678">
        <f t="shared" si="29"/>
        <v>131.81</v>
      </c>
      <c r="S191" s="1679">
        <f t="shared" si="30"/>
        <v>1</v>
      </c>
      <c r="T191" s="1423"/>
      <c r="U191" s="1423"/>
      <c r="V191" s="1423"/>
      <c r="W191" s="1434"/>
    </row>
    <row r="192" spans="1:23" s="1417" customFormat="1" ht="13.8">
      <c r="A192" s="1429"/>
      <c r="B192" s="1654" t="s">
        <v>3880</v>
      </c>
      <c r="C192" s="1666" t="s">
        <v>3292</v>
      </c>
      <c r="D192" s="1667" t="s">
        <v>36</v>
      </c>
      <c r="E192" s="1668">
        <v>16</v>
      </c>
      <c r="F192" s="1669">
        <v>170.58</v>
      </c>
      <c r="G192" s="1755">
        <v>171.03</v>
      </c>
      <c r="H192" s="1670">
        <f t="shared" si="24"/>
        <v>2729.28</v>
      </c>
      <c r="I192" s="1670">
        <f t="shared" si="25"/>
        <v>2736.48</v>
      </c>
      <c r="J192" s="1671">
        <v>13</v>
      </c>
      <c r="K192" s="1671">
        <v>2223.39</v>
      </c>
      <c r="L192" s="1895">
        <v>3</v>
      </c>
      <c r="M192" s="1673">
        <f t="shared" si="26"/>
        <v>513.09</v>
      </c>
      <c r="N192" s="1674">
        <f t="shared" si="22"/>
        <v>16</v>
      </c>
      <c r="O192" s="1675">
        <f t="shared" si="27"/>
        <v>2736.48</v>
      </c>
      <c r="P192" s="1676">
        <f t="shared" si="28"/>
        <v>1</v>
      </c>
      <c r="Q192" s="1677">
        <f t="shared" si="23"/>
        <v>0</v>
      </c>
      <c r="R192" s="1678">
        <f t="shared" si="29"/>
        <v>0</v>
      </c>
      <c r="S192" s="1679">
        <f t="shared" si="30"/>
        <v>0</v>
      </c>
      <c r="T192" s="1423"/>
      <c r="U192" s="1423"/>
      <c r="V192" s="1423"/>
      <c r="W192" s="1434"/>
    </row>
    <row r="193" spans="1:23" s="1417" customFormat="1" ht="13.8">
      <c r="B193" s="1654" t="s">
        <v>3881</v>
      </c>
      <c r="C193" s="1666" t="s">
        <v>3293</v>
      </c>
      <c r="D193" s="1667" t="s">
        <v>36</v>
      </c>
      <c r="E193" s="1668">
        <v>5</v>
      </c>
      <c r="F193" s="1669">
        <v>29.66</v>
      </c>
      <c r="G193" s="1755">
        <v>30.11</v>
      </c>
      <c r="H193" s="1670">
        <f t="shared" si="24"/>
        <v>148.30000000000001</v>
      </c>
      <c r="I193" s="1670">
        <f t="shared" si="25"/>
        <v>150.55000000000001</v>
      </c>
      <c r="J193" s="1671">
        <v>0</v>
      </c>
      <c r="K193" s="1671">
        <v>0</v>
      </c>
      <c r="L193" s="1895"/>
      <c r="M193" s="1673">
        <f t="shared" si="26"/>
        <v>0</v>
      </c>
      <c r="N193" s="1674">
        <f t="shared" si="22"/>
        <v>0</v>
      </c>
      <c r="O193" s="1675">
        <f t="shared" si="27"/>
        <v>0</v>
      </c>
      <c r="P193" s="1676">
        <f t="shared" si="28"/>
        <v>0</v>
      </c>
      <c r="Q193" s="1677">
        <f t="shared" si="23"/>
        <v>5</v>
      </c>
      <c r="R193" s="1678">
        <f t="shared" si="29"/>
        <v>150.55000000000001</v>
      </c>
      <c r="S193" s="1679">
        <f t="shared" si="30"/>
        <v>1</v>
      </c>
      <c r="T193" s="1423"/>
      <c r="U193" s="1423"/>
      <c r="V193" s="1423"/>
      <c r="W193" s="1434"/>
    </row>
    <row r="194" spans="1:23" s="1417" customFormat="1" ht="13.8">
      <c r="A194" s="1429"/>
      <c r="B194" s="1654" t="s">
        <v>3882</v>
      </c>
      <c r="C194" s="1666" t="s">
        <v>3294</v>
      </c>
      <c r="D194" s="1667" t="s">
        <v>36</v>
      </c>
      <c r="E194" s="1668">
        <v>3</v>
      </c>
      <c r="F194" s="1669">
        <v>15.08</v>
      </c>
      <c r="G194" s="1755">
        <v>15.53</v>
      </c>
      <c r="H194" s="1670">
        <f t="shared" si="24"/>
        <v>45.24</v>
      </c>
      <c r="I194" s="1670">
        <f t="shared" si="25"/>
        <v>46.59</v>
      </c>
      <c r="J194" s="1671">
        <v>3</v>
      </c>
      <c r="K194" s="1671">
        <v>46.589999999999996</v>
      </c>
      <c r="L194" s="1895"/>
      <c r="M194" s="1673">
        <f t="shared" si="26"/>
        <v>0</v>
      </c>
      <c r="N194" s="1674">
        <f t="shared" si="22"/>
        <v>3</v>
      </c>
      <c r="O194" s="1675">
        <f t="shared" si="27"/>
        <v>46.589999999999996</v>
      </c>
      <c r="P194" s="1676">
        <f t="shared" si="28"/>
        <v>0.99999999999999989</v>
      </c>
      <c r="Q194" s="1677">
        <f t="shared" si="23"/>
        <v>0</v>
      </c>
      <c r="R194" s="1678">
        <f t="shared" si="29"/>
        <v>0</v>
      </c>
      <c r="S194" s="1679">
        <f t="shared" si="30"/>
        <v>0</v>
      </c>
      <c r="T194" s="1423"/>
      <c r="U194" s="1423"/>
      <c r="V194" s="1423"/>
      <c r="W194" s="1434"/>
    </row>
    <row r="195" spans="1:23" s="1417" customFormat="1" ht="13.8">
      <c r="A195" s="1429"/>
      <c r="B195" s="1654" t="s">
        <v>3883</v>
      </c>
      <c r="C195" s="1666" t="s">
        <v>3297</v>
      </c>
      <c r="D195" s="1667" t="s">
        <v>36</v>
      </c>
      <c r="E195" s="1668">
        <v>12</v>
      </c>
      <c r="F195" s="1669">
        <v>78.599999999999994</v>
      </c>
      <c r="G195" s="1755">
        <v>79.05</v>
      </c>
      <c r="H195" s="1670">
        <f t="shared" si="24"/>
        <v>943.2</v>
      </c>
      <c r="I195" s="1670">
        <f t="shared" si="25"/>
        <v>948.6</v>
      </c>
      <c r="J195" s="1671">
        <v>4</v>
      </c>
      <c r="K195" s="1671">
        <v>316.2</v>
      </c>
      <c r="L195" s="1895"/>
      <c r="M195" s="1673">
        <f t="shared" si="26"/>
        <v>0</v>
      </c>
      <c r="N195" s="1674">
        <f t="shared" si="22"/>
        <v>4</v>
      </c>
      <c r="O195" s="1675">
        <f t="shared" si="27"/>
        <v>316.2</v>
      </c>
      <c r="P195" s="1676">
        <f t="shared" si="28"/>
        <v>0.33333333333333331</v>
      </c>
      <c r="Q195" s="1677">
        <f t="shared" si="23"/>
        <v>8</v>
      </c>
      <c r="R195" s="1678">
        <f t="shared" si="29"/>
        <v>632.4</v>
      </c>
      <c r="S195" s="1679">
        <f t="shared" si="30"/>
        <v>0.66666666666666663</v>
      </c>
      <c r="T195" s="1423"/>
      <c r="U195" s="1423"/>
      <c r="V195" s="1423"/>
      <c r="W195" s="1434"/>
    </row>
    <row r="196" spans="1:23" s="1417" customFormat="1" ht="13.8">
      <c r="B196" s="1654" t="s">
        <v>3884</v>
      </c>
      <c r="C196" s="1666" t="s">
        <v>3298</v>
      </c>
      <c r="D196" s="1667" t="s">
        <v>36</v>
      </c>
      <c r="E196" s="1668">
        <v>3</v>
      </c>
      <c r="F196" s="1669">
        <v>15.58</v>
      </c>
      <c r="G196" s="1755">
        <v>16.03</v>
      </c>
      <c r="H196" s="1670">
        <f t="shared" si="24"/>
        <v>46.74</v>
      </c>
      <c r="I196" s="1670">
        <f t="shared" si="25"/>
        <v>48.09</v>
      </c>
      <c r="J196" s="1671">
        <v>2</v>
      </c>
      <c r="K196" s="1671">
        <v>32.06</v>
      </c>
      <c r="L196" s="1895"/>
      <c r="M196" s="1673">
        <f t="shared" si="26"/>
        <v>0</v>
      </c>
      <c r="N196" s="1674">
        <f t="shared" si="22"/>
        <v>2</v>
      </c>
      <c r="O196" s="1675">
        <f t="shared" si="27"/>
        <v>32.06</v>
      </c>
      <c r="P196" s="1676">
        <f t="shared" si="28"/>
        <v>0.66666666666666663</v>
      </c>
      <c r="Q196" s="1677">
        <f t="shared" si="23"/>
        <v>1</v>
      </c>
      <c r="R196" s="1678">
        <f t="shared" si="29"/>
        <v>16.03</v>
      </c>
      <c r="S196" s="1679">
        <f t="shared" si="30"/>
        <v>0.33333333333333331</v>
      </c>
      <c r="T196" s="1423"/>
      <c r="U196" s="1423"/>
      <c r="V196" s="1423"/>
      <c r="W196" s="1434"/>
    </row>
    <row r="197" spans="1:23" s="1417" customFormat="1" ht="13.8">
      <c r="A197" s="1416"/>
      <c r="B197" s="1752" t="s">
        <v>479</v>
      </c>
      <c r="C197" s="1746" t="s">
        <v>3302</v>
      </c>
      <c r="D197" s="1667"/>
      <c r="E197" s="1668"/>
      <c r="F197" s="1669"/>
      <c r="G197" s="1755"/>
      <c r="H197" s="1670">
        <f t="shared" si="24"/>
        <v>0</v>
      </c>
      <c r="I197" s="1670">
        <f t="shared" si="25"/>
        <v>0</v>
      </c>
      <c r="J197" s="1671"/>
      <c r="K197" s="1671">
        <v>0</v>
      </c>
      <c r="L197" s="1895"/>
      <c r="M197" s="1673">
        <f t="shared" si="26"/>
        <v>0</v>
      </c>
      <c r="N197" s="1674"/>
      <c r="O197" s="1675">
        <f t="shared" si="27"/>
        <v>0</v>
      </c>
      <c r="P197" s="1676" t="str">
        <f t="shared" si="28"/>
        <v/>
      </c>
      <c r="Q197" s="1677"/>
      <c r="R197" s="1678">
        <f t="shared" si="29"/>
        <v>0</v>
      </c>
      <c r="S197" s="1679" t="str">
        <f t="shared" si="30"/>
        <v/>
      </c>
      <c r="T197" s="1423"/>
      <c r="U197" s="1423"/>
      <c r="V197" s="1423"/>
      <c r="W197" s="1434"/>
    </row>
    <row r="198" spans="1:23" s="1417" customFormat="1" ht="13.8">
      <c r="A198" s="1429"/>
      <c r="B198" s="1654" t="s">
        <v>852</v>
      </c>
      <c r="C198" s="1666" t="s">
        <v>3303</v>
      </c>
      <c r="D198" s="1667" t="s">
        <v>1451</v>
      </c>
      <c r="E198" s="1668">
        <v>5</v>
      </c>
      <c r="F198" s="1669">
        <v>93.18</v>
      </c>
      <c r="G198" s="1755">
        <v>95.5</v>
      </c>
      <c r="H198" s="1670">
        <f t="shared" si="24"/>
        <v>465.9</v>
      </c>
      <c r="I198" s="1670">
        <f t="shared" si="25"/>
        <v>477.5</v>
      </c>
      <c r="J198" s="1671">
        <v>5</v>
      </c>
      <c r="K198" s="1671">
        <v>477.5</v>
      </c>
      <c r="L198" s="1895"/>
      <c r="M198" s="1673">
        <f t="shared" si="26"/>
        <v>0</v>
      </c>
      <c r="N198" s="1674">
        <f t="shared" si="22"/>
        <v>5</v>
      </c>
      <c r="O198" s="1675">
        <f t="shared" si="27"/>
        <v>477.5</v>
      </c>
      <c r="P198" s="1676">
        <f t="shared" si="28"/>
        <v>1</v>
      </c>
      <c r="Q198" s="1677">
        <f t="shared" si="23"/>
        <v>0</v>
      </c>
      <c r="R198" s="1678">
        <f t="shared" si="29"/>
        <v>0</v>
      </c>
      <c r="S198" s="1679">
        <f t="shared" si="30"/>
        <v>0</v>
      </c>
      <c r="T198" s="1423"/>
      <c r="U198" s="1423"/>
      <c r="V198" s="1423"/>
      <c r="W198" s="1434"/>
    </row>
    <row r="199" spans="1:23" s="1417" customFormat="1" ht="13.8">
      <c r="B199" s="1654" t="s">
        <v>853</v>
      </c>
      <c r="C199" s="1666" t="s">
        <v>3304</v>
      </c>
      <c r="D199" s="1667" t="s">
        <v>1451</v>
      </c>
      <c r="E199" s="1668">
        <v>6</v>
      </c>
      <c r="F199" s="1669">
        <v>105.66</v>
      </c>
      <c r="G199" s="1755">
        <v>107.98</v>
      </c>
      <c r="H199" s="1670">
        <f t="shared" si="24"/>
        <v>633.96</v>
      </c>
      <c r="I199" s="1670">
        <f t="shared" si="25"/>
        <v>647.88</v>
      </c>
      <c r="J199" s="1671">
        <v>6</v>
      </c>
      <c r="K199" s="1671">
        <v>647.88</v>
      </c>
      <c r="L199" s="1895"/>
      <c r="M199" s="1673">
        <f t="shared" si="26"/>
        <v>0</v>
      </c>
      <c r="N199" s="1674">
        <f t="shared" si="22"/>
        <v>6</v>
      </c>
      <c r="O199" s="1675">
        <f t="shared" si="27"/>
        <v>647.88</v>
      </c>
      <c r="P199" s="1676">
        <f t="shared" si="28"/>
        <v>1</v>
      </c>
      <c r="Q199" s="1677">
        <f t="shared" si="23"/>
        <v>0</v>
      </c>
      <c r="R199" s="1678">
        <f t="shared" si="29"/>
        <v>0</v>
      </c>
      <c r="S199" s="1679">
        <f t="shared" si="30"/>
        <v>0</v>
      </c>
      <c r="T199" s="1423"/>
      <c r="U199" s="1423"/>
      <c r="V199" s="1423"/>
      <c r="W199" s="1434"/>
    </row>
    <row r="200" spans="1:23" s="1417" customFormat="1" ht="13.8">
      <c r="A200" s="1416"/>
      <c r="B200" s="1654" t="s">
        <v>854</v>
      </c>
      <c r="C200" s="1666" t="s">
        <v>3305</v>
      </c>
      <c r="D200" s="1667" t="s">
        <v>1451</v>
      </c>
      <c r="E200" s="1668">
        <v>1</v>
      </c>
      <c r="F200" s="1669">
        <v>118.64</v>
      </c>
      <c r="G200" s="1755">
        <v>120.96</v>
      </c>
      <c r="H200" s="1670">
        <f t="shared" si="24"/>
        <v>118.64</v>
      </c>
      <c r="I200" s="1670">
        <f t="shared" si="25"/>
        <v>120.96</v>
      </c>
      <c r="J200" s="1671">
        <v>1</v>
      </c>
      <c r="K200" s="1671">
        <v>120.96</v>
      </c>
      <c r="L200" s="1895"/>
      <c r="M200" s="1673">
        <f t="shared" si="26"/>
        <v>0</v>
      </c>
      <c r="N200" s="1674">
        <f t="shared" si="22"/>
        <v>1</v>
      </c>
      <c r="O200" s="1675">
        <f t="shared" si="27"/>
        <v>120.96</v>
      </c>
      <c r="P200" s="1676">
        <f t="shared" si="28"/>
        <v>1</v>
      </c>
      <c r="Q200" s="1677">
        <f t="shared" si="23"/>
        <v>0</v>
      </c>
      <c r="R200" s="1678">
        <f t="shared" si="29"/>
        <v>0</v>
      </c>
      <c r="S200" s="1679">
        <f t="shared" si="30"/>
        <v>0</v>
      </c>
      <c r="T200" s="1423"/>
      <c r="U200" s="1423"/>
      <c r="V200" s="1423"/>
      <c r="W200" s="1434"/>
    </row>
    <row r="201" spans="1:23" s="1417" customFormat="1" ht="13.8">
      <c r="A201" s="1429"/>
      <c r="B201" s="2129" t="s">
        <v>488</v>
      </c>
      <c r="C201" s="2131" t="s">
        <v>1383</v>
      </c>
      <c r="D201" s="1667"/>
      <c r="E201" s="1668"/>
      <c r="F201" s="1669"/>
      <c r="G201" s="1755"/>
      <c r="H201" s="1670">
        <f t="shared" si="24"/>
        <v>0</v>
      </c>
      <c r="I201" s="1670">
        <f t="shared" si="25"/>
        <v>0</v>
      </c>
      <c r="J201" s="1671"/>
      <c r="K201" s="1671">
        <v>0</v>
      </c>
      <c r="L201" s="1895"/>
      <c r="M201" s="1673">
        <f t="shared" si="26"/>
        <v>0</v>
      </c>
      <c r="N201" s="1674"/>
      <c r="O201" s="1675">
        <f t="shared" si="27"/>
        <v>0</v>
      </c>
      <c r="P201" s="1676" t="str">
        <f t="shared" si="28"/>
        <v/>
      </c>
      <c r="Q201" s="1677"/>
      <c r="R201" s="1678">
        <f t="shared" si="29"/>
        <v>0</v>
      </c>
      <c r="S201" s="1679" t="str">
        <f t="shared" si="30"/>
        <v/>
      </c>
      <c r="T201" s="1423"/>
      <c r="U201" s="1423"/>
      <c r="V201" s="1423"/>
      <c r="W201" s="1434"/>
    </row>
    <row r="202" spans="1:23" s="1417" customFormat="1" ht="13.8">
      <c r="B202" s="1752" t="s">
        <v>489</v>
      </c>
      <c r="C202" s="1746" t="s">
        <v>2899</v>
      </c>
      <c r="D202" s="1667"/>
      <c r="E202" s="1668"/>
      <c r="F202" s="1669"/>
      <c r="G202" s="1755"/>
      <c r="H202" s="1670">
        <f t="shared" si="24"/>
        <v>0</v>
      </c>
      <c r="I202" s="1670">
        <f t="shared" si="25"/>
        <v>0</v>
      </c>
      <c r="J202" s="1671"/>
      <c r="K202" s="1671">
        <v>0</v>
      </c>
      <c r="L202" s="1895"/>
      <c r="M202" s="1673">
        <f t="shared" si="26"/>
        <v>0</v>
      </c>
      <c r="N202" s="1674"/>
      <c r="O202" s="1675">
        <f t="shared" si="27"/>
        <v>0</v>
      </c>
      <c r="P202" s="1676" t="str">
        <f t="shared" si="28"/>
        <v/>
      </c>
      <c r="Q202" s="1677"/>
      <c r="R202" s="1678">
        <f t="shared" si="29"/>
        <v>0</v>
      </c>
      <c r="S202" s="1679" t="str">
        <f t="shared" si="30"/>
        <v/>
      </c>
      <c r="T202" s="1423"/>
      <c r="U202" s="1423"/>
      <c r="V202" s="1423"/>
      <c r="W202" s="1434"/>
    </row>
    <row r="203" spans="1:23" s="1417" customFormat="1" ht="27.6">
      <c r="A203" s="1429"/>
      <c r="B203" s="1654" t="s">
        <v>490</v>
      </c>
      <c r="C203" s="1666" t="s">
        <v>3885</v>
      </c>
      <c r="D203" s="1667" t="s">
        <v>40</v>
      </c>
      <c r="E203" s="1668">
        <v>40</v>
      </c>
      <c r="F203" s="1669">
        <v>46.72</v>
      </c>
      <c r="G203" s="1755">
        <v>48.65</v>
      </c>
      <c r="H203" s="1670">
        <f t="shared" si="24"/>
        <v>1868.8</v>
      </c>
      <c r="I203" s="1670">
        <f t="shared" si="25"/>
        <v>1946</v>
      </c>
      <c r="J203" s="1671">
        <v>0</v>
      </c>
      <c r="K203" s="1671">
        <v>0</v>
      </c>
      <c r="L203" s="1895"/>
      <c r="M203" s="1673">
        <f t="shared" si="26"/>
        <v>0</v>
      </c>
      <c r="N203" s="1674">
        <f t="shared" si="22"/>
        <v>0</v>
      </c>
      <c r="O203" s="1675">
        <f t="shared" si="27"/>
        <v>0</v>
      </c>
      <c r="P203" s="1676">
        <f t="shared" si="28"/>
        <v>0</v>
      </c>
      <c r="Q203" s="1677">
        <f t="shared" si="23"/>
        <v>40</v>
      </c>
      <c r="R203" s="1678">
        <f t="shared" si="29"/>
        <v>1946</v>
      </c>
      <c r="S203" s="1679">
        <f t="shared" si="30"/>
        <v>1</v>
      </c>
      <c r="T203" s="1423"/>
      <c r="U203" s="1423"/>
      <c r="V203" s="1423"/>
      <c r="W203" s="1434"/>
    </row>
    <row r="204" spans="1:23" s="1417" customFormat="1" ht="27.6">
      <c r="A204" s="1429"/>
      <c r="B204" s="1654" t="s">
        <v>491</v>
      </c>
      <c r="C204" s="1666" t="s">
        <v>3886</v>
      </c>
      <c r="D204" s="1667" t="s">
        <v>40</v>
      </c>
      <c r="E204" s="1668">
        <v>5</v>
      </c>
      <c r="F204" s="1669">
        <v>20.02</v>
      </c>
      <c r="G204" s="1755">
        <v>20.85</v>
      </c>
      <c r="H204" s="1670">
        <f t="shared" si="24"/>
        <v>100.1</v>
      </c>
      <c r="I204" s="1670">
        <f t="shared" si="25"/>
        <v>104.25</v>
      </c>
      <c r="J204" s="1671">
        <v>0</v>
      </c>
      <c r="K204" s="1671">
        <v>0</v>
      </c>
      <c r="L204" s="1895"/>
      <c r="M204" s="1673">
        <f t="shared" si="26"/>
        <v>0</v>
      </c>
      <c r="N204" s="1674">
        <f t="shared" si="22"/>
        <v>0</v>
      </c>
      <c r="O204" s="1675">
        <f t="shared" si="27"/>
        <v>0</v>
      </c>
      <c r="P204" s="1676">
        <f t="shared" si="28"/>
        <v>0</v>
      </c>
      <c r="Q204" s="1677">
        <f t="shared" si="23"/>
        <v>5</v>
      </c>
      <c r="R204" s="1678">
        <f t="shared" si="29"/>
        <v>104.25</v>
      </c>
      <c r="S204" s="1679">
        <f t="shared" si="30"/>
        <v>1</v>
      </c>
      <c r="T204" s="1423"/>
      <c r="U204" s="1423"/>
      <c r="V204" s="1423"/>
      <c r="W204" s="1434"/>
    </row>
    <row r="205" spans="1:23" s="1417" customFormat="1" ht="27.6">
      <c r="B205" s="1654" t="s">
        <v>492</v>
      </c>
      <c r="C205" s="1666" t="s">
        <v>3887</v>
      </c>
      <c r="D205" s="1667" t="s">
        <v>40</v>
      </c>
      <c r="E205" s="1668">
        <v>10</v>
      </c>
      <c r="F205" s="1669">
        <v>72.819999999999993</v>
      </c>
      <c r="G205" s="1755">
        <v>73.650000000000006</v>
      </c>
      <c r="H205" s="1670">
        <f t="shared" si="24"/>
        <v>728.2</v>
      </c>
      <c r="I205" s="1670">
        <f t="shared" si="25"/>
        <v>736.5</v>
      </c>
      <c r="J205" s="1671">
        <v>0</v>
      </c>
      <c r="K205" s="1671">
        <v>0</v>
      </c>
      <c r="L205" s="1895"/>
      <c r="M205" s="1673">
        <f t="shared" si="26"/>
        <v>0</v>
      </c>
      <c r="N205" s="1674">
        <f t="shared" si="22"/>
        <v>0</v>
      </c>
      <c r="O205" s="1675">
        <f t="shared" si="27"/>
        <v>0</v>
      </c>
      <c r="P205" s="1676">
        <f t="shared" si="28"/>
        <v>0</v>
      </c>
      <c r="Q205" s="1677">
        <f t="shared" si="23"/>
        <v>10</v>
      </c>
      <c r="R205" s="1678">
        <f t="shared" si="29"/>
        <v>736.5</v>
      </c>
      <c r="S205" s="1679">
        <f t="shared" si="30"/>
        <v>1</v>
      </c>
      <c r="T205" s="1423"/>
      <c r="U205" s="1423"/>
      <c r="V205" s="1423"/>
      <c r="W205" s="1434"/>
    </row>
    <row r="206" spans="1:23" s="1417" customFormat="1" ht="27.6">
      <c r="A206" s="1416"/>
      <c r="B206" s="1654" t="s">
        <v>1017</v>
      </c>
      <c r="C206" s="1666" t="s">
        <v>3888</v>
      </c>
      <c r="D206" s="1667" t="s">
        <v>40</v>
      </c>
      <c r="E206" s="1668">
        <v>30</v>
      </c>
      <c r="F206" s="1669">
        <v>20.02</v>
      </c>
      <c r="G206" s="1755">
        <v>20.85</v>
      </c>
      <c r="H206" s="1670">
        <f t="shared" si="24"/>
        <v>600.6</v>
      </c>
      <c r="I206" s="1670">
        <f t="shared" si="25"/>
        <v>625.5</v>
      </c>
      <c r="J206" s="1671">
        <v>0</v>
      </c>
      <c r="K206" s="1671">
        <v>0</v>
      </c>
      <c r="L206" s="1895"/>
      <c r="M206" s="1673">
        <f t="shared" si="26"/>
        <v>0</v>
      </c>
      <c r="N206" s="1674">
        <f t="shared" si="22"/>
        <v>0</v>
      </c>
      <c r="O206" s="1675">
        <f t="shared" si="27"/>
        <v>0</v>
      </c>
      <c r="P206" s="1676">
        <f t="shared" si="28"/>
        <v>0</v>
      </c>
      <c r="Q206" s="1677">
        <f t="shared" si="23"/>
        <v>30</v>
      </c>
      <c r="R206" s="1678">
        <f t="shared" si="29"/>
        <v>625.5</v>
      </c>
      <c r="S206" s="1679">
        <f t="shared" si="30"/>
        <v>1</v>
      </c>
      <c r="T206" s="1423"/>
      <c r="U206" s="1423"/>
      <c r="V206" s="1423"/>
      <c r="W206" s="1434"/>
    </row>
    <row r="207" spans="1:23" s="1417" customFormat="1" ht="13.8">
      <c r="A207" s="1429"/>
      <c r="B207" s="1654" t="s">
        <v>493</v>
      </c>
      <c r="C207" s="1666" t="s">
        <v>2906</v>
      </c>
      <c r="D207" s="1667"/>
      <c r="E207" s="1668"/>
      <c r="F207" s="1669"/>
      <c r="G207" s="1755"/>
      <c r="H207" s="1670">
        <f t="shared" si="24"/>
        <v>0</v>
      </c>
      <c r="I207" s="1670">
        <f t="shared" si="25"/>
        <v>0</v>
      </c>
      <c r="J207" s="1671"/>
      <c r="K207" s="1671">
        <v>0</v>
      </c>
      <c r="L207" s="1895"/>
      <c r="M207" s="1673">
        <f t="shared" si="26"/>
        <v>0</v>
      </c>
      <c r="N207" s="1674"/>
      <c r="O207" s="1675">
        <f t="shared" si="27"/>
        <v>0</v>
      </c>
      <c r="P207" s="1676" t="str">
        <f t="shared" si="28"/>
        <v/>
      </c>
      <c r="Q207" s="1677"/>
      <c r="R207" s="1678">
        <f t="shared" si="29"/>
        <v>0</v>
      </c>
      <c r="S207" s="1679" t="str">
        <f t="shared" si="30"/>
        <v/>
      </c>
      <c r="T207" s="1423"/>
      <c r="U207" s="1423"/>
      <c r="V207" s="1423"/>
      <c r="W207" s="1434"/>
    </row>
    <row r="208" spans="1:23" s="1417" customFormat="1" ht="13.8">
      <c r="B208" s="1654" t="s">
        <v>494</v>
      </c>
      <c r="C208" s="1666" t="s">
        <v>3397</v>
      </c>
      <c r="D208" s="1667" t="s">
        <v>36</v>
      </c>
      <c r="E208" s="1668">
        <v>6</v>
      </c>
      <c r="F208" s="1669">
        <v>258.86</v>
      </c>
      <c r="G208" s="1755">
        <v>265.82</v>
      </c>
      <c r="H208" s="1670">
        <f t="shared" si="24"/>
        <v>1553.16</v>
      </c>
      <c r="I208" s="1670">
        <f t="shared" si="25"/>
        <v>1594.92</v>
      </c>
      <c r="J208" s="1671">
        <v>0</v>
      </c>
      <c r="K208" s="1671">
        <v>0</v>
      </c>
      <c r="L208" s="1895"/>
      <c r="M208" s="1673">
        <f t="shared" si="26"/>
        <v>0</v>
      </c>
      <c r="N208" s="1674">
        <f t="shared" si="22"/>
        <v>0</v>
      </c>
      <c r="O208" s="1675">
        <f t="shared" si="27"/>
        <v>0</v>
      </c>
      <c r="P208" s="1676">
        <f t="shared" si="28"/>
        <v>0</v>
      </c>
      <c r="Q208" s="1677">
        <f t="shared" ref="Q208:Q266" si="31">E208-N208</f>
        <v>6</v>
      </c>
      <c r="R208" s="1678">
        <f t="shared" si="29"/>
        <v>1594.92</v>
      </c>
      <c r="S208" s="1679">
        <f t="shared" si="30"/>
        <v>1</v>
      </c>
      <c r="T208" s="1423"/>
      <c r="U208" s="1423"/>
      <c r="V208" s="1423"/>
      <c r="W208" s="1434"/>
    </row>
    <row r="209" spans="1:23" s="1417" customFormat="1" ht="27.6">
      <c r="A209" s="1416"/>
      <c r="B209" s="1654" t="s">
        <v>495</v>
      </c>
      <c r="C209" s="1666" t="s">
        <v>3889</v>
      </c>
      <c r="D209" s="1667" t="s">
        <v>36</v>
      </c>
      <c r="E209" s="1668">
        <v>5</v>
      </c>
      <c r="F209" s="1669">
        <v>222.6</v>
      </c>
      <c r="G209" s="1755">
        <v>230.76</v>
      </c>
      <c r="H209" s="1670">
        <f t="shared" si="24"/>
        <v>1113</v>
      </c>
      <c r="I209" s="1670">
        <f t="shared" si="25"/>
        <v>1153.8</v>
      </c>
      <c r="J209" s="1671">
        <v>0</v>
      </c>
      <c r="K209" s="1671">
        <v>0</v>
      </c>
      <c r="L209" s="1895"/>
      <c r="M209" s="1673">
        <f t="shared" si="26"/>
        <v>0</v>
      </c>
      <c r="N209" s="1674">
        <f t="shared" ref="N209:N257" si="32">J209+L209</f>
        <v>0</v>
      </c>
      <c r="O209" s="1675">
        <f t="shared" si="27"/>
        <v>0</v>
      </c>
      <c r="P209" s="1676">
        <f t="shared" si="28"/>
        <v>0</v>
      </c>
      <c r="Q209" s="1677">
        <f t="shared" si="31"/>
        <v>5</v>
      </c>
      <c r="R209" s="1678">
        <f t="shared" si="29"/>
        <v>1153.8</v>
      </c>
      <c r="S209" s="1679">
        <f t="shared" si="30"/>
        <v>1</v>
      </c>
      <c r="T209" s="1423"/>
      <c r="U209" s="1423"/>
      <c r="V209" s="1423"/>
      <c r="W209" s="1434"/>
    </row>
    <row r="210" spans="1:23" s="1417" customFormat="1" ht="13.8">
      <c r="A210" s="1429"/>
      <c r="B210" s="1752" t="s">
        <v>497</v>
      </c>
      <c r="C210" s="1746" t="s">
        <v>3890</v>
      </c>
      <c r="D210" s="1667"/>
      <c r="E210" s="1668"/>
      <c r="F210" s="1669"/>
      <c r="G210" s="1755"/>
      <c r="H210" s="1670">
        <f t="shared" ref="H210:H257" si="33">ROUND(E210*F210,2)</f>
        <v>0</v>
      </c>
      <c r="I210" s="1670">
        <f t="shared" ref="I210:I257" si="34">ROUND(E210*G210,2)</f>
        <v>0</v>
      </c>
      <c r="J210" s="1671"/>
      <c r="K210" s="1671">
        <v>0</v>
      </c>
      <c r="L210" s="1895"/>
      <c r="M210" s="1673">
        <f t="shared" ref="M210:M257" si="35">+L210*G210</f>
        <v>0</v>
      </c>
      <c r="N210" s="1674"/>
      <c r="O210" s="1675">
        <f t="shared" ref="O210:O257" si="36">N210*G210</f>
        <v>0</v>
      </c>
      <c r="P210" s="1676" t="str">
        <f t="shared" ref="P210:P257" si="37">+IF(D210=0,"",O210/I210)</f>
        <v/>
      </c>
      <c r="Q210" s="1677"/>
      <c r="R210" s="1678">
        <f t="shared" ref="R210:R257" si="38">ROUND((Q210*G210),2)</f>
        <v>0</v>
      </c>
      <c r="S210" s="1679" t="str">
        <f t="shared" ref="S210:S257" si="39">+IF(I210=0,"",R210/I210)</f>
        <v/>
      </c>
      <c r="T210" s="1423"/>
      <c r="U210" s="1423"/>
      <c r="V210" s="1423"/>
      <c r="W210" s="1434"/>
    </row>
    <row r="211" spans="1:23" s="1417" customFormat="1" ht="13.8">
      <c r="B211" s="1654" t="s">
        <v>498</v>
      </c>
      <c r="C211" s="1666" t="s">
        <v>3891</v>
      </c>
      <c r="D211" s="1667"/>
      <c r="E211" s="1668"/>
      <c r="F211" s="1669"/>
      <c r="G211" s="1755"/>
      <c r="H211" s="1670">
        <f t="shared" si="33"/>
        <v>0</v>
      </c>
      <c r="I211" s="1670">
        <f t="shared" si="34"/>
        <v>0</v>
      </c>
      <c r="J211" s="1671"/>
      <c r="K211" s="1671">
        <v>0</v>
      </c>
      <c r="L211" s="1895"/>
      <c r="M211" s="1673">
        <f t="shared" si="35"/>
        <v>0</v>
      </c>
      <c r="N211" s="1674"/>
      <c r="O211" s="1675">
        <f t="shared" si="36"/>
        <v>0</v>
      </c>
      <c r="P211" s="1676" t="str">
        <f t="shared" si="37"/>
        <v/>
      </c>
      <c r="Q211" s="1677"/>
      <c r="R211" s="1678">
        <f t="shared" si="38"/>
        <v>0</v>
      </c>
      <c r="S211" s="1679" t="str">
        <f t="shared" si="39"/>
        <v/>
      </c>
      <c r="T211" s="1423"/>
      <c r="U211" s="1423"/>
      <c r="V211" s="1423"/>
      <c r="W211" s="1434"/>
    </row>
    <row r="212" spans="1:23" s="1417" customFormat="1" ht="13.8">
      <c r="A212" s="1429"/>
      <c r="B212" s="1654" t="s">
        <v>2586</v>
      </c>
      <c r="C212" s="1666" t="s">
        <v>3892</v>
      </c>
      <c r="D212" s="1667" t="s">
        <v>2829</v>
      </c>
      <c r="E212" s="1668">
        <v>4</v>
      </c>
      <c r="F212" s="1669">
        <v>530.12</v>
      </c>
      <c r="G212" s="1755">
        <v>534.9</v>
      </c>
      <c r="H212" s="1670">
        <f t="shared" si="33"/>
        <v>2120.48</v>
      </c>
      <c r="I212" s="1670">
        <f t="shared" si="34"/>
        <v>2139.6</v>
      </c>
      <c r="J212" s="1671">
        <v>0</v>
      </c>
      <c r="K212" s="1671">
        <v>0</v>
      </c>
      <c r="L212" s="1895">
        <f>+'[33]VAL AMP4 MM'!$N$25</f>
        <v>4</v>
      </c>
      <c r="M212" s="1673">
        <f t="shared" si="35"/>
        <v>2139.6</v>
      </c>
      <c r="N212" s="1674">
        <f t="shared" si="32"/>
        <v>4</v>
      </c>
      <c r="O212" s="1675">
        <f t="shared" si="36"/>
        <v>2139.6</v>
      </c>
      <c r="P212" s="1676">
        <f t="shared" si="37"/>
        <v>1</v>
      </c>
      <c r="Q212" s="1677">
        <f t="shared" si="31"/>
        <v>0</v>
      </c>
      <c r="R212" s="1678">
        <f t="shared" si="38"/>
        <v>0</v>
      </c>
      <c r="S212" s="1679">
        <f t="shared" si="39"/>
        <v>0</v>
      </c>
      <c r="T212" s="1423"/>
      <c r="U212" s="1423"/>
      <c r="V212" s="1423"/>
      <c r="W212" s="1434"/>
    </row>
    <row r="213" spans="1:23" s="1417" customFormat="1" ht="13.8">
      <c r="A213" s="1429"/>
      <c r="B213" s="1654" t="s">
        <v>499</v>
      </c>
      <c r="C213" s="1666" t="s">
        <v>3430</v>
      </c>
      <c r="D213" s="1667"/>
      <c r="E213" s="1668"/>
      <c r="F213" s="1669"/>
      <c r="G213" s="1755"/>
      <c r="H213" s="1670">
        <f t="shared" si="33"/>
        <v>0</v>
      </c>
      <c r="I213" s="1670">
        <f t="shared" si="34"/>
        <v>0</v>
      </c>
      <c r="J213" s="1671"/>
      <c r="K213" s="1671">
        <v>0</v>
      </c>
      <c r="L213" s="1895"/>
      <c r="M213" s="1673">
        <f t="shared" si="35"/>
        <v>0</v>
      </c>
      <c r="N213" s="1674"/>
      <c r="O213" s="1675">
        <f t="shared" si="36"/>
        <v>0</v>
      </c>
      <c r="P213" s="1676" t="str">
        <f t="shared" si="37"/>
        <v/>
      </c>
      <c r="Q213" s="1677"/>
      <c r="R213" s="1678">
        <f t="shared" si="38"/>
        <v>0</v>
      </c>
      <c r="S213" s="1679" t="str">
        <f t="shared" si="39"/>
        <v/>
      </c>
      <c r="T213" s="1423"/>
      <c r="U213" s="1423"/>
      <c r="V213" s="1423"/>
      <c r="W213" s="1434"/>
    </row>
    <row r="214" spans="1:23" s="1417" customFormat="1" ht="13.8">
      <c r="B214" s="1654" t="s">
        <v>2594</v>
      </c>
      <c r="C214" s="1666" t="s">
        <v>3441</v>
      </c>
      <c r="D214" s="1667" t="s">
        <v>2829</v>
      </c>
      <c r="E214" s="1668">
        <v>8</v>
      </c>
      <c r="F214" s="1669">
        <v>41.31</v>
      </c>
      <c r="G214" s="1755">
        <v>41.99</v>
      </c>
      <c r="H214" s="1670">
        <f t="shared" si="33"/>
        <v>330.48</v>
      </c>
      <c r="I214" s="1670">
        <f t="shared" si="34"/>
        <v>335.92</v>
      </c>
      <c r="J214" s="1671">
        <v>0</v>
      </c>
      <c r="K214" s="1671">
        <v>0</v>
      </c>
      <c r="L214" s="1895"/>
      <c r="M214" s="1673">
        <f t="shared" si="35"/>
        <v>0</v>
      </c>
      <c r="N214" s="1674">
        <f t="shared" si="32"/>
        <v>0</v>
      </c>
      <c r="O214" s="1675">
        <f t="shared" si="36"/>
        <v>0</v>
      </c>
      <c r="P214" s="1676">
        <f t="shared" si="37"/>
        <v>0</v>
      </c>
      <c r="Q214" s="1677">
        <f t="shared" si="31"/>
        <v>8</v>
      </c>
      <c r="R214" s="1678">
        <f t="shared" si="38"/>
        <v>335.92</v>
      </c>
      <c r="S214" s="1679">
        <f t="shared" si="39"/>
        <v>1</v>
      </c>
      <c r="T214" s="1423"/>
      <c r="U214" s="1423"/>
      <c r="V214" s="1423"/>
      <c r="W214" s="1434"/>
    </row>
    <row r="215" spans="1:23" s="1417" customFormat="1" ht="27.6">
      <c r="A215" s="1416"/>
      <c r="B215" s="1654" t="s">
        <v>2595</v>
      </c>
      <c r="C215" s="1666" t="s">
        <v>3446</v>
      </c>
      <c r="D215" s="1667" t="s">
        <v>2829</v>
      </c>
      <c r="E215" s="1668">
        <v>22</v>
      </c>
      <c r="F215" s="1669">
        <v>334.95</v>
      </c>
      <c r="G215" s="1755">
        <v>335.63</v>
      </c>
      <c r="H215" s="1670">
        <f t="shared" si="33"/>
        <v>7368.9</v>
      </c>
      <c r="I215" s="1670">
        <f t="shared" si="34"/>
        <v>7383.86</v>
      </c>
      <c r="J215" s="1671">
        <v>0</v>
      </c>
      <c r="K215" s="1671">
        <v>0</v>
      </c>
      <c r="L215" s="1895"/>
      <c r="M215" s="1673">
        <f t="shared" si="35"/>
        <v>0</v>
      </c>
      <c r="N215" s="1674">
        <f t="shared" si="32"/>
        <v>0</v>
      </c>
      <c r="O215" s="1675">
        <f t="shared" si="36"/>
        <v>0</v>
      </c>
      <c r="P215" s="1676">
        <f t="shared" si="37"/>
        <v>0</v>
      </c>
      <c r="Q215" s="1677">
        <f t="shared" si="31"/>
        <v>22</v>
      </c>
      <c r="R215" s="1678">
        <f t="shared" si="38"/>
        <v>7383.86</v>
      </c>
      <c r="S215" s="1679">
        <f t="shared" si="39"/>
        <v>1</v>
      </c>
      <c r="T215" s="1423"/>
      <c r="U215" s="1423"/>
      <c r="V215" s="1423"/>
      <c r="W215" s="1434"/>
    </row>
    <row r="216" spans="1:23" s="1417" customFormat="1" ht="13.8">
      <c r="A216" s="1429"/>
      <c r="B216" s="1752" t="s">
        <v>1032</v>
      </c>
      <c r="C216" s="1746" t="s">
        <v>3893</v>
      </c>
      <c r="D216" s="1667"/>
      <c r="E216" s="1668"/>
      <c r="F216" s="1669"/>
      <c r="G216" s="1755"/>
      <c r="H216" s="1670">
        <f t="shared" si="33"/>
        <v>0</v>
      </c>
      <c r="I216" s="1670">
        <f t="shared" si="34"/>
        <v>0</v>
      </c>
      <c r="J216" s="1671"/>
      <c r="K216" s="1671">
        <v>0</v>
      </c>
      <c r="L216" s="1895"/>
      <c r="M216" s="1673">
        <f t="shared" si="35"/>
        <v>0</v>
      </c>
      <c r="N216" s="1674"/>
      <c r="O216" s="1675">
        <f t="shared" si="36"/>
        <v>0</v>
      </c>
      <c r="P216" s="1676" t="str">
        <f t="shared" si="37"/>
        <v/>
      </c>
      <c r="Q216" s="1677"/>
      <c r="R216" s="1678">
        <f t="shared" si="38"/>
        <v>0</v>
      </c>
      <c r="S216" s="1679" t="str">
        <f t="shared" si="39"/>
        <v/>
      </c>
      <c r="T216" s="1423"/>
      <c r="U216" s="1423"/>
      <c r="V216" s="1423"/>
      <c r="W216" s="1434"/>
    </row>
    <row r="217" spans="1:23" s="1417" customFormat="1" ht="13.8">
      <c r="B217" s="1654" t="s">
        <v>2609</v>
      </c>
      <c r="C217" s="1666" t="s">
        <v>3450</v>
      </c>
      <c r="D217" s="1667" t="s">
        <v>38</v>
      </c>
      <c r="E217" s="1668">
        <v>135</v>
      </c>
      <c r="F217" s="1669">
        <v>7.31</v>
      </c>
      <c r="G217" s="1755">
        <v>7.49</v>
      </c>
      <c r="H217" s="1670">
        <f t="shared" si="33"/>
        <v>986.85</v>
      </c>
      <c r="I217" s="1670">
        <f t="shared" si="34"/>
        <v>1011.15</v>
      </c>
      <c r="J217" s="1671">
        <v>135</v>
      </c>
      <c r="K217" s="1671">
        <v>1011.15</v>
      </c>
      <c r="L217" s="1895"/>
      <c r="M217" s="1673">
        <f t="shared" si="35"/>
        <v>0</v>
      </c>
      <c r="N217" s="1674">
        <f t="shared" si="32"/>
        <v>135</v>
      </c>
      <c r="O217" s="1675">
        <f t="shared" si="36"/>
        <v>1011.15</v>
      </c>
      <c r="P217" s="1676">
        <f t="shared" si="37"/>
        <v>1</v>
      </c>
      <c r="Q217" s="1677">
        <f t="shared" si="31"/>
        <v>0</v>
      </c>
      <c r="R217" s="1678">
        <f t="shared" si="38"/>
        <v>0</v>
      </c>
      <c r="S217" s="1679">
        <f t="shared" si="39"/>
        <v>0</v>
      </c>
      <c r="T217" s="1423"/>
      <c r="U217" s="1423"/>
      <c r="V217" s="1423"/>
      <c r="W217" s="1434"/>
    </row>
    <row r="218" spans="1:23" s="1417" customFormat="1" ht="13.8">
      <c r="A218" s="1416"/>
      <c r="B218" s="1654" t="s">
        <v>2610</v>
      </c>
      <c r="C218" s="1666" t="s">
        <v>3894</v>
      </c>
      <c r="D218" s="1667" t="s">
        <v>36</v>
      </c>
      <c r="E218" s="1668">
        <v>25</v>
      </c>
      <c r="F218" s="1669">
        <v>5.67</v>
      </c>
      <c r="G218" s="1755">
        <v>5.8</v>
      </c>
      <c r="H218" s="1670">
        <f t="shared" si="33"/>
        <v>141.75</v>
      </c>
      <c r="I218" s="1670">
        <f t="shared" si="34"/>
        <v>145</v>
      </c>
      <c r="J218" s="1671">
        <v>25</v>
      </c>
      <c r="K218" s="1671">
        <v>145</v>
      </c>
      <c r="L218" s="1895"/>
      <c r="M218" s="1673">
        <f t="shared" si="35"/>
        <v>0</v>
      </c>
      <c r="N218" s="1674">
        <f t="shared" si="32"/>
        <v>25</v>
      </c>
      <c r="O218" s="1675">
        <f t="shared" si="36"/>
        <v>145</v>
      </c>
      <c r="P218" s="1676">
        <f t="shared" si="37"/>
        <v>1</v>
      </c>
      <c r="Q218" s="1677">
        <f t="shared" si="31"/>
        <v>0</v>
      </c>
      <c r="R218" s="1678">
        <f t="shared" si="38"/>
        <v>0</v>
      </c>
      <c r="S218" s="1679">
        <f t="shared" si="39"/>
        <v>0</v>
      </c>
      <c r="T218" s="1423"/>
      <c r="U218" s="1423"/>
      <c r="V218" s="1423"/>
      <c r="W218" s="1434"/>
    </row>
    <row r="219" spans="1:23" s="1417" customFormat="1" ht="13.8">
      <c r="A219" s="1429"/>
      <c r="B219" s="1654" t="s">
        <v>2611</v>
      </c>
      <c r="C219" s="1666" t="s">
        <v>3895</v>
      </c>
      <c r="D219" s="1667" t="s">
        <v>36</v>
      </c>
      <c r="E219" s="1668">
        <v>20</v>
      </c>
      <c r="F219" s="1669">
        <v>5.46</v>
      </c>
      <c r="G219" s="1755">
        <v>5.59</v>
      </c>
      <c r="H219" s="1670">
        <f t="shared" si="33"/>
        <v>109.2</v>
      </c>
      <c r="I219" s="1670">
        <f t="shared" si="34"/>
        <v>111.8</v>
      </c>
      <c r="J219" s="1671">
        <v>20</v>
      </c>
      <c r="K219" s="1671">
        <v>111.8</v>
      </c>
      <c r="L219" s="1895"/>
      <c r="M219" s="1673">
        <f t="shared" si="35"/>
        <v>0</v>
      </c>
      <c r="N219" s="1674">
        <f t="shared" si="32"/>
        <v>20</v>
      </c>
      <c r="O219" s="1675">
        <f t="shared" si="36"/>
        <v>111.8</v>
      </c>
      <c r="P219" s="1676">
        <f t="shared" si="37"/>
        <v>1</v>
      </c>
      <c r="Q219" s="1677">
        <f t="shared" si="31"/>
        <v>0</v>
      </c>
      <c r="R219" s="1678">
        <f t="shared" si="38"/>
        <v>0</v>
      </c>
      <c r="S219" s="1679">
        <f t="shared" si="39"/>
        <v>0</v>
      </c>
      <c r="T219" s="1423"/>
      <c r="U219" s="1423"/>
      <c r="V219" s="1423"/>
      <c r="W219" s="1434"/>
    </row>
    <row r="220" spans="1:23" s="1417" customFormat="1" ht="13.8">
      <c r="B220" s="1752" t="s">
        <v>1033</v>
      </c>
      <c r="C220" s="1746" t="s">
        <v>3896</v>
      </c>
      <c r="D220" s="1667"/>
      <c r="E220" s="1668"/>
      <c r="F220" s="1669"/>
      <c r="G220" s="1755"/>
      <c r="H220" s="1670">
        <f t="shared" si="33"/>
        <v>0</v>
      </c>
      <c r="I220" s="1670">
        <f t="shared" si="34"/>
        <v>0</v>
      </c>
      <c r="J220" s="1671"/>
      <c r="K220" s="1671">
        <v>0</v>
      </c>
      <c r="L220" s="1895"/>
      <c r="M220" s="1673">
        <f t="shared" si="35"/>
        <v>0</v>
      </c>
      <c r="N220" s="1674"/>
      <c r="O220" s="1675">
        <f t="shared" si="36"/>
        <v>0</v>
      </c>
      <c r="P220" s="1676" t="str">
        <f t="shared" si="37"/>
        <v/>
      </c>
      <c r="Q220" s="1677"/>
      <c r="R220" s="1678">
        <f t="shared" si="38"/>
        <v>0</v>
      </c>
      <c r="S220" s="1679" t="str">
        <f t="shared" si="39"/>
        <v/>
      </c>
      <c r="T220" s="1423"/>
      <c r="U220" s="1423"/>
      <c r="V220" s="1423"/>
      <c r="W220" s="1434"/>
    </row>
    <row r="221" spans="1:23" s="1417" customFormat="1" ht="13.8">
      <c r="A221" s="1429"/>
      <c r="B221" s="1654" t="s">
        <v>3897</v>
      </c>
      <c r="C221" s="1666" t="s">
        <v>3898</v>
      </c>
      <c r="D221" s="1667" t="s">
        <v>3899</v>
      </c>
      <c r="E221" s="1668">
        <v>464</v>
      </c>
      <c r="F221" s="1669">
        <v>8.2100000000000009</v>
      </c>
      <c r="G221" s="1755">
        <v>8.41</v>
      </c>
      <c r="H221" s="1670">
        <f t="shared" si="33"/>
        <v>3809.44</v>
      </c>
      <c r="I221" s="1670">
        <f t="shared" si="34"/>
        <v>3902.24</v>
      </c>
      <c r="J221" s="1671">
        <v>464</v>
      </c>
      <c r="K221" s="1671">
        <v>3902.2400000000002</v>
      </c>
      <c r="L221" s="1895"/>
      <c r="M221" s="1673">
        <f t="shared" si="35"/>
        <v>0</v>
      </c>
      <c r="N221" s="1674">
        <f t="shared" si="32"/>
        <v>464</v>
      </c>
      <c r="O221" s="1675">
        <f t="shared" si="36"/>
        <v>3902.2400000000002</v>
      </c>
      <c r="P221" s="1676">
        <f t="shared" si="37"/>
        <v>1.0000000000000002</v>
      </c>
      <c r="Q221" s="1677">
        <f t="shared" si="31"/>
        <v>0</v>
      </c>
      <c r="R221" s="1678">
        <f t="shared" si="38"/>
        <v>0</v>
      </c>
      <c r="S221" s="1679">
        <f t="shared" si="39"/>
        <v>0</v>
      </c>
      <c r="T221" s="1423"/>
      <c r="U221" s="1423"/>
      <c r="V221" s="1423"/>
      <c r="W221" s="1434"/>
    </row>
    <row r="222" spans="1:23" s="1417" customFormat="1" ht="13.8">
      <c r="A222" s="1429"/>
      <c r="B222" s="1654" t="s">
        <v>3900</v>
      </c>
      <c r="C222" s="1666" t="s">
        <v>3901</v>
      </c>
      <c r="D222" s="1667" t="s">
        <v>3899</v>
      </c>
      <c r="E222" s="1668">
        <v>461</v>
      </c>
      <c r="F222" s="1669">
        <v>7.64</v>
      </c>
      <c r="G222" s="1755">
        <v>7.84</v>
      </c>
      <c r="H222" s="1670">
        <f t="shared" si="33"/>
        <v>3522.04</v>
      </c>
      <c r="I222" s="1670">
        <f t="shared" si="34"/>
        <v>3614.24</v>
      </c>
      <c r="J222" s="1671">
        <v>461</v>
      </c>
      <c r="K222" s="1671">
        <v>3614.24</v>
      </c>
      <c r="L222" s="1895"/>
      <c r="M222" s="1673">
        <f t="shared" si="35"/>
        <v>0</v>
      </c>
      <c r="N222" s="1674">
        <f t="shared" si="32"/>
        <v>461</v>
      </c>
      <c r="O222" s="1675">
        <f t="shared" si="36"/>
        <v>3614.24</v>
      </c>
      <c r="P222" s="1676">
        <f t="shared" si="37"/>
        <v>1</v>
      </c>
      <c r="Q222" s="1677">
        <f t="shared" si="31"/>
        <v>0</v>
      </c>
      <c r="R222" s="1678">
        <f t="shared" si="38"/>
        <v>0</v>
      </c>
      <c r="S222" s="1679">
        <f t="shared" si="39"/>
        <v>0</v>
      </c>
      <c r="T222" s="1423"/>
      <c r="U222" s="1423"/>
      <c r="V222" s="1423"/>
      <c r="W222" s="1434"/>
    </row>
    <row r="223" spans="1:23" s="1417" customFormat="1" ht="13.8">
      <c r="B223" s="1752" t="s">
        <v>500</v>
      </c>
      <c r="C223" s="1746" t="s">
        <v>3902</v>
      </c>
      <c r="D223" s="1667"/>
      <c r="E223" s="1668"/>
      <c r="F223" s="1669"/>
      <c r="G223" s="1755"/>
      <c r="H223" s="1670">
        <f t="shared" si="33"/>
        <v>0</v>
      </c>
      <c r="I223" s="1670">
        <f t="shared" si="34"/>
        <v>0</v>
      </c>
      <c r="J223" s="1671">
        <v>0</v>
      </c>
      <c r="K223" s="1671">
        <v>0</v>
      </c>
      <c r="L223" s="1895"/>
      <c r="M223" s="1673">
        <f t="shared" si="35"/>
        <v>0</v>
      </c>
      <c r="N223" s="1674">
        <f t="shared" si="32"/>
        <v>0</v>
      </c>
      <c r="O223" s="1675">
        <f t="shared" si="36"/>
        <v>0</v>
      </c>
      <c r="P223" s="1676" t="str">
        <f t="shared" si="37"/>
        <v/>
      </c>
      <c r="Q223" s="1677">
        <f t="shared" si="31"/>
        <v>0</v>
      </c>
      <c r="R223" s="1678">
        <f t="shared" si="38"/>
        <v>0</v>
      </c>
      <c r="S223" s="1679" t="str">
        <f t="shared" si="39"/>
        <v/>
      </c>
      <c r="T223" s="1423"/>
      <c r="U223" s="1423"/>
      <c r="V223" s="1423"/>
      <c r="W223" s="1434"/>
    </row>
    <row r="224" spans="1:23" s="1417" customFormat="1" ht="13.8">
      <c r="A224" s="1416"/>
      <c r="B224" s="1752" t="s">
        <v>501</v>
      </c>
      <c r="C224" s="1746" t="s">
        <v>3903</v>
      </c>
      <c r="D224" s="1667"/>
      <c r="E224" s="1668"/>
      <c r="F224" s="1669"/>
      <c r="G224" s="1755"/>
      <c r="H224" s="1670">
        <f t="shared" si="33"/>
        <v>0</v>
      </c>
      <c r="I224" s="1670">
        <f t="shared" si="34"/>
        <v>0</v>
      </c>
      <c r="J224" s="1671"/>
      <c r="K224" s="1671">
        <v>0</v>
      </c>
      <c r="L224" s="1895"/>
      <c r="M224" s="1673">
        <f t="shared" si="35"/>
        <v>0</v>
      </c>
      <c r="N224" s="1674"/>
      <c r="O224" s="1675">
        <f t="shared" si="36"/>
        <v>0</v>
      </c>
      <c r="P224" s="1676" t="str">
        <f t="shared" si="37"/>
        <v/>
      </c>
      <c r="Q224" s="1677"/>
      <c r="R224" s="1678">
        <f t="shared" si="38"/>
        <v>0</v>
      </c>
      <c r="S224" s="1679" t="str">
        <f t="shared" si="39"/>
        <v/>
      </c>
      <c r="T224" s="1423"/>
      <c r="U224" s="1423"/>
      <c r="V224" s="1423"/>
      <c r="W224" s="1434"/>
    </row>
    <row r="225" spans="1:23" s="1417" customFormat="1" ht="13.8">
      <c r="A225" s="1429"/>
      <c r="B225" s="1654" t="s">
        <v>2616</v>
      </c>
      <c r="C225" s="1666" t="s">
        <v>3904</v>
      </c>
      <c r="D225" s="1667" t="s">
        <v>36</v>
      </c>
      <c r="E225" s="1668">
        <v>468.34</v>
      </c>
      <c r="F225" s="1669">
        <v>6.34</v>
      </c>
      <c r="G225" s="1755">
        <v>6.46</v>
      </c>
      <c r="H225" s="1670">
        <f t="shared" si="33"/>
        <v>2969.28</v>
      </c>
      <c r="I225" s="1670">
        <f t="shared" si="34"/>
        <v>3025.48</v>
      </c>
      <c r="J225" s="1671">
        <v>468.34</v>
      </c>
      <c r="K225" s="1671">
        <v>3025.4764</v>
      </c>
      <c r="L225" s="1895"/>
      <c r="M225" s="1673">
        <f t="shared" si="35"/>
        <v>0</v>
      </c>
      <c r="N225" s="1674">
        <f t="shared" si="32"/>
        <v>468.34</v>
      </c>
      <c r="O225" s="1675">
        <f t="shared" si="36"/>
        <v>3025.4764</v>
      </c>
      <c r="P225" s="1676">
        <f t="shared" si="37"/>
        <v>0.99999881010616498</v>
      </c>
      <c r="Q225" s="1677">
        <f t="shared" si="31"/>
        <v>0</v>
      </c>
      <c r="R225" s="1678">
        <f t="shared" si="38"/>
        <v>0</v>
      </c>
      <c r="S225" s="1679">
        <f t="shared" si="39"/>
        <v>0</v>
      </c>
      <c r="T225" s="1423"/>
      <c r="U225" s="1423"/>
      <c r="V225" s="1423"/>
      <c r="W225" s="1434"/>
    </row>
    <row r="226" spans="1:23" s="1417" customFormat="1" ht="13.8">
      <c r="B226" s="1654" t="s">
        <v>2617</v>
      </c>
      <c r="C226" s="1666" t="s">
        <v>3905</v>
      </c>
      <c r="D226" s="1667" t="s">
        <v>36</v>
      </c>
      <c r="E226" s="1668">
        <v>235</v>
      </c>
      <c r="F226" s="1669">
        <v>3.96</v>
      </c>
      <c r="G226" s="1755">
        <v>4.09</v>
      </c>
      <c r="H226" s="1670">
        <f t="shared" si="33"/>
        <v>930.6</v>
      </c>
      <c r="I226" s="1670">
        <f t="shared" si="34"/>
        <v>961.15</v>
      </c>
      <c r="J226" s="1671">
        <v>235</v>
      </c>
      <c r="K226" s="1671">
        <v>961.15</v>
      </c>
      <c r="L226" s="1895"/>
      <c r="M226" s="1673">
        <f t="shared" si="35"/>
        <v>0</v>
      </c>
      <c r="N226" s="1674">
        <f t="shared" si="32"/>
        <v>235</v>
      </c>
      <c r="O226" s="1675">
        <f t="shared" si="36"/>
        <v>961.15</v>
      </c>
      <c r="P226" s="1676">
        <f t="shared" si="37"/>
        <v>1</v>
      </c>
      <c r="Q226" s="1677">
        <f t="shared" si="31"/>
        <v>0</v>
      </c>
      <c r="R226" s="1678">
        <f t="shared" si="38"/>
        <v>0</v>
      </c>
      <c r="S226" s="1679">
        <f t="shared" si="39"/>
        <v>0</v>
      </c>
      <c r="T226" s="1423"/>
      <c r="U226" s="1423"/>
      <c r="V226" s="1423"/>
      <c r="W226" s="1434"/>
    </row>
    <row r="227" spans="1:23" s="1417" customFormat="1" ht="13.8">
      <c r="A227" s="1416"/>
      <c r="B227" s="1752" t="s">
        <v>502</v>
      </c>
      <c r="C227" s="1746" t="s">
        <v>3896</v>
      </c>
      <c r="D227" s="1667"/>
      <c r="E227" s="1668"/>
      <c r="F227" s="1669"/>
      <c r="G227" s="1755"/>
      <c r="H227" s="1670">
        <f t="shared" si="33"/>
        <v>0</v>
      </c>
      <c r="I227" s="1670">
        <f t="shared" si="34"/>
        <v>0</v>
      </c>
      <c r="J227" s="1671"/>
      <c r="K227" s="1671">
        <v>0</v>
      </c>
      <c r="L227" s="1895"/>
      <c r="M227" s="1673">
        <f t="shared" si="35"/>
        <v>0</v>
      </c>
      <c r="N227" s="1674"/>
      <c r="O227" s="1675">
        <f t="shared" si="36"/>
        <v>0</v>
      </c>
      <c r="P227" s="1676" t="str">
        <f t="shared" si="37"/>
        <v/>
      </c>
      <c r="Q227" s="1677"/>
      <c r="R227" s="1678">
        <f t="shared" si="38"/>
        <v>0</v>
      </c>
      <c r="S227" s="1679" t="str">
        <f t="shared" si="39"/>
        <v/>
      </c>
      <c r="T227" s="1423"/>
      <c r="U227" s="1423"/>
      <c r="V227" s="1423"/>
      <c r="W227" s="1434"/>
    </row>
    <row r="228" spans="1:23" s="1417" customFormat="1" ht="13.8">
      <c r="A228" s="1429"/>
      <c r="B228" s="1654" t="s">
        <v>2620</v>
      </c>
      <c r="C228" s="1666" t="s">
        <v>3462</v>
      </c>
      <c r="D228" s="1667" t="s">
        <v>3899</v>
      </c>
      <c r="E228" s="1668">
        <v>936.38</v>
      </c>
      <c r="F228" s="1669">
        <v>8.2100000000000009</v>
      </c>
      <c r="G228" s="1755">
        <v>8.4499999999999993</v>
      </c>
      <c r="H228" s="1670">
        <f t="shared" si="33"/>
        <v>7687.68</v>
      </c>
      <c r="I228" s="1670">
        <f t="shared" si="34"/>
        <v>7912.41</v>
      </c>
      <c r="J228" s="1671">
        <v>400</v>
      </c>
      <c r="K228" s="1671">
        <v>3379.9999999999995</v>
      </c>
      <c r="L228" s="1895">
        <v>536.38</v>
      </c>
      <c r="M228" s="1673">
        <f t="shared" si="35"/>
        <v>4532.4109999999991</v>
      </c>
      <c r="N228" s="1674">
        <f t="shared" si="32"/>
        <v>936.38</v>
      </c>
      <c r="O228" s="1675">
        <f t="shared" si="36"/>
        <v>7912.4109999999991</v>
      </c>
      <c r="P228" s="1676">
        <f t="shared" si="37"/>
        <v>1.0000001263837439</v>
      </c>
      <c r="Q228" s="1677">
        <f t="shared" si="31"/>
        <v>0</v>
      </c>
      <c r="R228" s="1678">
        <f t="shared" si="38"/>
        <v>0</v>
      </c>
      <c r="S228" s="1679">
        <f t="shared" si="39"/>
        <v>0</v>
      </c>
      <c r="T228" s="1423"/>
      <c r="U228" s="1423"/>
      <c r="V228" s="1423"/>
      <c r="W228" s="1434"/>
    </row>
    <row r="229" spans="1:23" s="1417" customFormat="1" ht="13.8">
      <c r="B229" s="1654" t="s">
        <v>2621</v>
      </c>
      <c r="C229" s="1666" t="s">
        <v>3463</v>
      </c>
      <c r="D229" s="1667" t="s">
        <v>3899</v>
      </c>
      <c r="E229" s="1668">
        <v>468.34</v>
      </c>
      <c r="F229" s="1669">
        <v>7.64</v>
      </c>
      <c r="G229" s="1755">
        <v>7.88</v>
      </c>
      <c r="H229" s="1670">
        <f t="shared" si="33"/>
        <v>3578.12</v>
      </c>
      <c r="I229" s="1670">
        <f t="shared" si="34"/>
        <v>3690.52</v>
      </c>
      <c r="J229" s="1671">
        <v>200</v>
      </c>
      <c r="K229" s="1671">
        <v>1576</v>
      </c>
      <c r="L229" s="1895">
        <v>268.33999999999997</v>
      </c>
      <c r="M229" s="1673">
        <f t="shared" si="35"/>
        <v>2114.5191999999997</v>
      </c>
      <c r="N229" s="1674">
        <f t="shared" si="32"/>
        <v>468.34</v>
      </c>
      <c r="O229" s="1675">
        <f t="shared" si="36"/>
        <v>3690.5191999999997</v>
      </c>
      <c r="P229" s="1676">
        <f t="shared" si="37"/>
        <v>0.99999978322837968</v>
      </c>
      <c r="Q229" s="1677">
        <f t="shared" si="31"/>
        <v>0</v>
      </c>
      <c r="R229" s="1678">
        <f t="shared" si="38"/>
        <v>0</v>
      </c>
      <c r="S229" s="1679">
        <f t="shared" si="39"/>
        <v>0</v>
      </c>
      <c r="T229" s="1423"/>
      <c r="U229" s="1423"/>
      <c r="V229" s="1423"/>
      <c r="W229" s="1434"/>
    </row>
    <row r="230" spans="1:23" s="1417" customFormat="1" ht="13.8">
      <c r="A230" s="1429"/>
      <c r="B230" s="1752" t="s">
        <v>503</v>
      </c>
      <c r="C230" s="1746" t="s">
        <v>3906</v>
      </c>
      <c r="D230" s="1667"/>
      <c r="E230" s="1668"/>
      <c r="F230" s="1669"/>
      <c r="G230" s="1755"/>
      <c r="H230" s="1670">
        <f t="shared" si="33"/>
        <v>0</v>
      </c>
      <c r="I230" s="1670">
        <f t="shared" si="34"/>
        <v>0</v>
      </c>
      <c r="J230" s="1671"/>
      <c r="K230" s="1671">
        <v>0</v>
      </c>
      <c r="L230" s="1895"/>
      <c r="M230" s="1673">
        <f t="shared" si="35"/>
        <v>0</v>
      </c>
      <c r="N230" s="1674"/>
      <c r="O230" s="1675">
        <f t="shared" si="36"/>
        <v>0</v>
      </c>
      <c r="P230" s="1676" t="str">
        <f t="shared" si="37"/>
        <v/>
      </c>
      <c r="Q230" s="1677"/>
      <c r="R230" s="1678">
        <f t="shared" si="38"/>
        <v>0</v>
      </c>
      <c r="S230" s="1679" t="str">
        <f t="shared" si="39"/>
        <v/>
      </c>
      <c r="T230" s="1423"/>
      <c r="U230" s="1423"/>
      <c r="V230" s="1423"/>
      <c r="W230" s="1434"/>
    </row>
    <row r="231" spans="1:23" s="1417" customFormat="1" ht="13.8">
      <c r="A231" s="1429"/>
      <c r="B231" s="1654" t="s">
        <v>2626</v>
      </c>
      <c r="C231" s="1666" t="s">
        <v>3465</v>
      </c>
      <c r="D231" s="1667" t="s">
        <v>1452</v>
      </c>
      <c r="E231" s="1668">
        <v>97</v>
      </c>
      <c r="F231" s="1669">
        <v>91.08</v>
      </c>
      <c r="G231" s="1755">
        <v>93.13</v>
      </c>
      <c r="H231" s="1670">
        <f t="shared" si="33"/>
        <v>8834.76</v>
      </c>
      <c r="I231" s="1670">
        <f t="shared" si="34"/>
        <v>9033.61</v>
      </c>
      <c r="J231" s="1671">
        <v>97</v>
      </c>
      <c r="K231" s="1671">
        <v>9033.6099999999988</v>
      </c>
      <c r="L231" s="1895"/>
      <c r="M231" s="1673">
        <f t="shared" si="35"/>
        <v>0</v>
      </c>
      <c r="N231" s="1674">
        <f t="shared" si="32"/>
        <v>97</v>
      </c>
      <c r="O231" s="1675">
        <f t="shared" si="36"/>
        <v>9033.6099999999988</v>
      </c>
      <c r="P231" s="1676">
        <f t="shared" si="37"/>
        <v>0.99999999999999978</v>
      </c>
      <c r="Q231" s="1677">
        <f t="shared" si="31"/>
        <v>0</v>
      </c>
      <c r="R231" s="1678">
        <f t="shared" si="38"/>
        <v>0</v>
      </c>
      <c r="S231" s="1679">
        <f t="shared" si="39"/>
        <v>0</v>
      </c>
      <c r="T231" s="1423"/>
      <c r="U231" s="1423"/>
      <c r="V231" s="1423"/>
      <c r="W231" s="1434"/>
    </row>
    <row r="232" spans="1:23" s="1417" customFormat="1" ht="13.8">
      <c r="B232" s="1654" t="s">
        <v>2627</v>
      </c>
      <c r="C232" s="1666" t="s">
        <v>3907</v>
      </c>
      <c r="D232" s="1667" t="s">
        <v>36</v>
      </c>
      <c r="E232" s="1668">
        <v>97</v>
      </c>
      <c r="F232" s="1669">
        <v>53.16</v>
      </c>
      <c r="G232" s="1755">
        <v>55.2</v>
      </c>
      <c r="H232" s="1670">
        <f t="shared" si="33"/>
        <v>5156.5200000000004</v>
      </c>
      <c r="I232" s="1670">
        <f t="shared" si="34"/>
        <v>5354.4</v>
      </c>
      <c r="J232" s="1671">
        <v>97</v>
      </c>
      <c r="K232" s="1671">
        <v>5354.4000000000005</v>
      </c>
      <c r="L232" s="1895"/>
      <c r="M232" s="1673">
        <f t="shared" si="35"/>
        <v>0</v>
      </c>
      <c r="N232" s="1674">
        <f t="shared" si="32"/>
        <v>97</v>
      </c>
      <c r="O232" s="1675">
        <f t="shared" si="36"/>
        <v>5354.4000000000005</v>
      </c>
      <c r="P232" s="1676">
        <f t="shared" si="37"/>
        <v>1.0000000000000002</v>
      </c>
      <c r="Q232" s="1677">
        <f t="shared" si="31"/>
        <v>0</v>
      </c>
      <c r="R232" s="1678">
        <f t="shared" si="38"/>
        <v>0</v>
      </c>
      <c r="S232" s="1679">
        <f t="shared" si="39"/>
        <v>0</v>
      </c>
      <c r="T232" s="1423"/>
      <c r="U232" s="1423"/>
      <c r="V232" s="1423"/>
      <c r="W232" s="1434"/>
    </row>
    <row r="233" spans="1:23" s="1417" customFormat="1" ht="13.8">
      <c r="A233" s="1416"/>
      <c r="B233" s="1752" t="s">
        <v>505</v>
      </c>
      <c r="C233" s="1746" t="s">
        <v>3908</v>
      </c>
      <c r="D233" s="1667"/>
      <c r="E233" s="1668"/>
      <c r="F233" s="1669"/>
      <c r="G233" s="1755"/>
      <c r="H233" s="1670">
        <f t="shared" si="33"/>
        <v>0</v>
      </c>
      <c r="I233" s="1670">
        <f t="shared" si="34"/>
        <v>0</v>
      </c>
      <c r="J233" s="1671">
        <v>0</v>
      </c>
      <c r="K233" s="1671">
        <v>0</v>
      </c>
      <c r="L233" s="1895"/>
      <c r="M233" s="1673">
        <f t="shared" si="35"/>
        <v>0</v>
      </c>
      <c r="N233" s="1674">
        <f t="shared" si="32"/>
        <v>0</v>
      </c>
      <c r="O233" s="1675">
        <f t="shared" si="36"/>
        <v>0</v>
      </c>
      <c r="P233" s="1676" t="str">
        <f t="shared" si="37"/>
        <v/>
      </c>
      <c r="Q233" s="1677">
        <f t="shared" si="31"/>
        <v>0</v>
      </c>
      <c r="R233" s="1678">
        <f t="shared" si="38"/>
        <v>0</v>
      </c>
      <c r="S233" s="1679" t="str">
        <f t="shared" si="39"/>
        <v/>
      </c>
      <c r="T233" s="1423"/>
      <c r="U233" s="1423"/>
      <c r="V233" s="1423"/>
      <c r="W233" s="1434"/>
    </row>
    <row r="234" spans="1:23" s="1417" customFormat="1" ht="13.8">
      <c r="A234" s="1429"/>
      <c r="B234" s="1752" t="s">
        <v>506</v>
      </c>
      <c r="C234" s="1746" t="s">
        <v>3909</v>
      </c>
      <c r="D234" s="1667"/>
      <c r="E234" s="1668"/>
      <c r="F234" s="1669"/>
      <c r="G234" s="1755"/>
      <c r="H234" s="1670">
        <f t="shared" si="33"/>
        <v>0</v>
      </c>
      <c r="I234" s="1670">
        <f t="shared" si="34"/>
        <v>0</v>
      </c>
      <c r="J234" s="1671"/>
      <c r="K234" s="1671">
        <v>0</v>
      </c>
      <c r="L234" s="1895"/>
      <c r="M234" s="1673">
        <f t="shared" si="35"/>
        <v>0</v>
      </c>
      <c r="N234" s="1674"/>
      <c r="O234" s="1675">
        <f t="shared" si="36"/>
        <v>0</v>
      </c>
      <c r="P234" s="1676" t="str">
        <f t="shared" si="37"/>
        <v/>
      </c>
      <c r="Q234" s="1677"/>
      <c r="R234" s="1678">
        <f t="shared" si="38"/>
        <v>0</v>
      </c>
      <c r="S234" s="1679" t="str">
        <f t="shared" si="39"/>
        <v/>
      </c>
      <c r="T234" s="1423"/>
      <c r="U234" s="1423"/>
      <c r="V234" s="1423"/>
      <c r="W234" s="1434"/>
    </row>
    <row r="235" spans="1:23" s="1417" customFormat="1" ht="27.6">
      <c r="B235" s="1654" t="s">
        <v>3910</v>
      </c>
      <c r="C235" s="1666" t="s">
        <v>3911</v>
      </c>
      <c r="D235" s="1667" t="s">
        <v>36</v>
      </c>
      <c r="E235" s="1668">
        <v>465</v>
      </c>
      <c r="F235" s="1669">
        <v>313.39999999999998</v>
      </c>
      <c r="G235" s="1755">
        <v>314.77999999999997</v>
      </c>
      <c r="H235" s="1670">
        <f t="shared" si="33"/>
        <v>145731</v>
      </c>
      <c r="I235" s="1670">
        <f t="shared" si="34"/>
        <v>146372.70000000001</v>
      </c>
      <c r="J235" s="1671">
        <v>0</v>
      </c>
      <c r="K235" s="1671">
        <v>0</v>
      </c>
      <c r="L235" s="1895"/>
      <c r="M235" s="1673">
        <f t="shared" si="35"/>
        <v>0</v>
      </c>
      <c r="N235" s="1674">
        <f t="shared" si="32"/>
        <v>0</v>
      </c>
      <c r="O235" s="1675">
        <f t="shared" si="36"/>
        <v>0</v>
      </c>
      <c r="P235" s="1676">
        <f t="shared" si="37"/>
        <v>0</v>
      </c>
      <c r="Q235" s="1677">
        <f t="shared" si="31"/>
        <v>465</v>
      </c>
      <c r="R235" s="1678">
        <f t="shared" si="38"/>
        <v>146372.70000000001</v>
      </c>
      <c r="S235" s="1679">
        <f t="shared" si="39"/>
        <v>1</v>
      </c>
      <c r="T235" s="1423"/>
      <c r="U235" s="1423"/>
      <c r="V235" s="1423"/>
      <c r="W235" s="1434"/>
    </row>
    <row r="236" spans="1:23" s="1417" customFormat="1" ht="27.6">
      <c r="A236" s="1416"/>
      <c r="B236" s="1654" t="s">
        <v>3912</v>
      </c>
      <c r="C236" s="1666" t="s">
        <v>3913</v>
      </c>
      <c r="D236" s="1667" t="s">
        <v>36</v>
      </c>
      <c r="E236" s="1668">
        <v>243</v>
      </c>
      <c r="F236" s="1669">
        <v>88.17</v>
      </c>
      <c r="G236" s="1755">
        <v>89.55</v>
      </c>
      <c r="H236" s="1670">
        <f t="shared" si="33"/>
        <v>21425.31</v>
      </c>
      <c r="I236" s="1670">
        <f t="shared" si="34"/>
        <v>21760.65</v>
      </c>
      <c r="J236" s="1671">
        <v>0</v>
      </c>
      <c r="K236" s="1671">
        <v>0</v>
      </c>
      <c r="L236" s="1895"/>
      <c r="M236" s="1673">
        <f t="shared" si="35"/>
        <v>0</v>
      </c>
      <c r="N236" s="1674">
        <f t="shared" si="32"/>
        <v>0</v>
      </c>
      <c r="O236" s="1675">
        <f t="shared" si="36"/>
        <v>0</v>
      </c>
      <c r="P236" s="1676">
        <f t="shared" si="37"/>
        <v>0</v>
      </c>
      <c r="Q236" s="1677">
        <f t="shared" si="31"/>
        <v>243</v>
      </c>
      <c r="R236" s="1678">
        <f t="shared" si="38"/>
        <v>21760.65</v>
      </c>
      <c r="S236" s="1679">
        <f t="shared" si="39"/>
        <v>1</v>
      </c>
      <c r="T236" s="1423"/>
      <c r="U236" s="1423"/>
      <c r="V236" s="1423"/>
      <c r="W236" s="1434"/>
    </row>
    <row r="237" spans="1:23" s="1417" customFormat="1" ht="27.6">
      <c r="A237" s="1429"/>
      <c r="B237" s="1654" t="s">
        <v>3914</v>
      </c>
      <c r="C237" s="1666" t="s">
        <v>3915</v>
      </c>
      <c r="D237" s="1667" t="s">
        <v>36</v>
      </c>
      <c r="E237" s="1668">
        <v>51</v>
      </c>
      <c r="F237" s="1669">
        <v>143.16999999999999</v>
      </c>
      <c r="G237" s="1755">
        <v>144.55000000000001</v>
      </c>
      <c r="H237" s="1670">
        <f t="shared" si="33"/>
        <v>7301.67</v>
      </c>
      <c r="I237" s="1670">
        <f t="shared" si="34"/>
        <v>7372.05</v>
      </c>
      <c r="J237" s="1671">
        <v>0</v>
      </c>
      <c r="K237" s="1671">
        <v>0</v>
      </c>
      <c r="L237" s="1895"/>
      <c r="M237" s="1673">
        <f t="shared" si="35"/>
        <v>0</v>
      </c>
      <c r="N237" s="1674">
        <f t="shared" si="32"/>
        <v>0</v>
      </c>
      <c r="O237" s="1675">
        <f t="shared" si="36"/>
        <v>0</v>
      </c>
      <c r="P237" s="1676">
        <f t="shared" si="37"/>
        <v>0</v>
      </c>
      <c r="Q237" s="1677">
        <f t="shared" si="31"/>
        <v>51</v>
      </c>
      <c r="R237" s="1678">
        <f t="shared" si="38"/>
        <v>7372.05</v>
      </c>
      <c r="S237" s="1679">
        <f t="shared" si="39"/>
        <v>1</v>
      </c>
      <c r="T237" s="1423"/>
      <c r="U237" s="1423"/>
      <c r="V237" s="1423"/>
      <c r="W237" s="1434"/>
    </row>
    <row r="238" spans="1:23" s="1417" customFormat="1" ht="13.8">
      <c r="B238" s="1654" t="s">
        <v>507</v>
      </c>
      <c r="C238" s="1666" t="s">
        <v>3916</v>
      </c>
      <c r="D238" s="1667"/>
      <c r="E238" s="1668"/>
      <c r="F238" s="1669"/>
      <c r="G238" s="1755"/>
      <c r="H238" s="1670">
        <f t="shared" si="33"/>
        <v>0</v>
      </c>
      <c r="I238" s="1670">
        <f t="shared" si="34"/>
        <v>0</v>
      </c>
      <c r="J238" s="1671"/>
      <c r="K238" s="1671">
        <v>0</v>
      </c>
      <c r="L238" s="1895"/>
      <c r="M238" s="1673">
        <f t="shared" si="35"/>
        <v>0</v>
      </c>
      <c r="N238" s="1674"/>
      <c r="O238" s="1675">
        <f t="shared" si="36"/>
        <v>0</v>
      </c>
      <c r="P238" s="1676" t="str">
        <f t="shared" si="37"/>
        <v/>
      </c>
      <c r="Q238" s="1677"/>
      <c r="R238" s="1678">
        <f t="shared" si="38"/>
        <v>0</v>
      </c>
      <c r="S238" s="1679" t="str">
        <f t="shared" si="39"/>
        <v/>
      </c>
      <c r="T238" s="1423"/>
      <c r="U238" s="1423"/>
      <c r="V238" s="1423"/>
      <c r="W238" s="1434"/>
    </row>
    <row r="239" spans="1:23" s="1417" customFormat="1" ht="27.6">
      <c r="A239" s="1429"/>
      <c r="B239" s="1654" t="s">
        <v>3917</v>
      </c>
      <c r="C239" s="1666" t="s">
        <v>3918</v>
      </c>
      <c r="D239" s="1667" t="s">
        <v>36</v>
      </c>
      <c r="E239" s="1668">
        <v>34</v>
      </c>
      <c r="F239" s="1669">
        <v>145.38</v>
      </c>
      <c r="G239" s="1755">
        <v>146.76</v>
      </c>
      <c r="H239" s="1670">
        <f t="shared" si="33"/>
        <v>4942.92</v>
      </c>
      <c r="I239" s="1670">
        <f t="shared" si="34"/>
        <v>4989.84</v>
      </c>
      <c r="J239" s="1671">
        <v>0</v>
      </c>
      <c r="K239" s="1671">
        <v>0</v>
      </c>
      <c r="L239" s="1895"/>
      <c r="M239" s="1673">
        <f t="shared" si="35"/>
        <v>0</v>
      </c>
      <c r="N239" s="1674">
        <f t="shared" si="32"/>
        <v>0</v>
      </c>
      <c r="O239" s="1675">
        <f t="shared" si="36"/>
        <v>0</v>
      </c>
      <c r="P239" s="1676">
        <f t="shared" si="37"/>
        <v>0</v>
      </c>
      <c r="Q239" s="1677">
        <f t="shared" si="31"/>
        <v>34</v>
      </c>
      <c r="R239" s="1678">
        <f t="shared" si="38"/>
        <v>4989.84</v>
      </c>
      <c r="S239" s="1679">
        <f t="shared" si="39"/>
        <v>1</v>
      </c>
      <c r="T239" s="1423"/>
      <c r="U239" s="1423"/>
      <c r="V239" s="1423"/>
      <c r="W239" s="1434"/>
    </row>
    <row r="240" spans="1:23" s="1417" customFormat="1" ht="27.6">
      <c r="A240" s="1429"/>
      <c r="B240" s="1654" t="s">
        <v>3919</v>
      </c>
      <c r="C240" s="1666" t="s">
        <v>3920</v>
      </c>
      <c r="D240" s="1667" t="s">
        <v>36</v>
      </c>
      <c r="E240" s="1668">
        <v>6</v>
      </c>
      <c r="F240" s="1669">
        <v>143.16999999999999</v>
      </c>
      <c r="G240" s="1755">
        <v>144.55000000000001</v>
      </c>
      <c r="H240" s="1670">
        <f t="shared" si="33"/>
        <v>859.02</v>
      </c>
      <c r="I240" s="1670">
        <f t="shared" si="34"/>
        <v>867.3</v>
      </c>
      <c r="J240" s="1671">
        <v>0</v>
      </c>
      <c r="K240" s="1671">
        <v>0</v>
      </c>
      <c r="L240" s="1895"/>
      <c r="M240" s="1673">
        <f t="shared" si="35"/>
        <v>0</v>
      </c>
      <c r="N240" s="1674">
        <f t="shared" si="32"/>
        <v>0</v>
      </c>
      <c r="O240" s="1675">
        <f t="shared" si="36"/>
        <v>0</v>
      </c>
      <c r="P240" s="1676">
        <f t="shared" si="37"/>
        <v>0</v>
      </c>
      <c r="Q240" s="1677">
        <f t="shared" si="31"/>
        <v>6</v>
      </c>
      <c r="R240" s="1678">
        <f t="shared" si="38"/>
        <v>867.3</v>
      </c>
      <c r="S240" s="1679">
        <f t="shared" si="39"/>
        <v>1</v>
      </c>
      <c r="T240" s="1423"/>
      <c r="U240" s="1423"/>
      <c r="V240" s="1423"/>
      <c r="W240" s="1434"/>
    </row>
    <row r="241" spans="1:23" s="1417" customFormat="1" ht="13.8">
      <c r="B241" s="1654" t="s">
        <v>508</v>
      </c>
      <c r="C241" s="1666" t="s">
        <v>3921</v>
      </c>
      <c r="D241" s="1667"/>
      <c r="E241" s="1668"/>
      <c r="F241" s="1669"/>
      <c r="G241" s="1755"/>
      <c r="H241" s="1670">
        <f t="shared" si="33"/>
        <v>0</v>
      </c>
      <c r="I241" s="1670">
        <f t="shared" si="34"/>
        <v>0</v>
      </c>
      <c r="J241" s="1671"/>
      <c r="K241" s="1671">
        <v>0</v>
      </c>
      <c r="L241" s="1895"/>
      <c r="M241" s="1673">
        <f t="shared" si="35"/>
        <v>0</v>
      </c>
      <c r="N241" s="1674"/>
      <c r="O241" s="1675">
        <f t="shared" si="36"/>
        <v>0</v>
      </c>
      <c r="P241" s="1676" t="str">
        <f t="shared" si="37"/>
        <v/>
      </c>
      <c r="Q241" s="1677"/>
      <c r="R241" s="1678">
        <f t="shared" si="38"/>
        <v>0</v>
      </c>
      <c r="S241" s="1679" t="str">
        <f t="shared" si="39"/>
        <v/>
      </c>
      <c r="T241" s="1423"/>
      <c r="U241" s="1423"/>
      <c r="V241" s="1423"/>
      <c r="W241" s="1434"/>
    </row>
    <row r="242" spans="1:23" s="1417" customFormat="1" ht="27.6">
      <c r="A242" s="1416"/>
      <c r="B242" s="1654" t="s">
        <v>3922</v>
      </c>
      <c r="C242" s="1666" t="s">
        <v>3483</v>
      </c>
      <c r="D242" s="1667" t="s">
        <v>1452</v>
      </c>
      <c r="E242" s="1668">
        <v>15</v>
      </c>
      <c r="F242" s="1669">
        <v>91.75</v>
      </c>
      <c r="G242" s="1755">
        <v>93.06</v>
      </c>
      <c r="H242" s="1670">
        <f t="shared" si="33"/>
        <v>1376.25</v>
      </c>
      <c r="I242" s="1670">
        <f t="shared" si="34"/>
        <v>1395.9</v>
      </c>
      <c r="J242" s="1671">
        <v>10</v>
      </c>
      <c r="K242" s="1671">
        <v>930.6</v>
      </c>
      <c r="L242" s="1895">
        <f>+'[33]VAL AMP4 MM'!$O$55</f>
        <v>5</v>
      </c>
      <c r="M242" s="1673">
        <f t="shared" si="35"/>
        <v>465.3</v>
      </c>
      <c r="N242" s="1674">
        <f t="shared" si="32"/>
        <v>15</v>
      </c>
      <c r="O242" s="1675">
        <f t="shared" si="36"/>
        <v>1395.9</v>
      </c>
      <c r="P242" s="1676">
        <f t="shared" si="37"/>
        <v>1</v>
      </c>
      <c r="Q242" s="1677">
        <f t="shared" si="31"/>
        <v>0</v>
      </c>
      <c r="R242" s="1678">
        <f t="shared" si="38"/>
        <v>0</v>
      </c>
      <c r="S242" s="1679">
        <f t="shared" si="39"/>
        <v>0</v>
      </c>
      <c r="T242" s="1423"/>
      <c r="U242" s="1423"/>
      <c r="V242" s="1423"/>
      <c r="W242" s="1434"/>
    </row>
    <row r="243" spans="1:23" s="1417" customFormat="1" ht="27.6">
      <c r="A243" s="1429"/>
      <c r="B243" s="1654" t="s">
        <v>3923</v>
      </c>
      <c r="C243" s="1666" t="s">
        <v>3484</v>
      </c>
      <c r="D243" s="1667" t="s">
        <v>1452</v>
      </c>
      <c r="E243" s="1668">
        <v>15</v>
      </c>
      <c r="F243" s="1669">
        <v>101.54</v>
      </c>
      <c r="G243" s="1755">
        <v>102.85</v>
      </c>
      <c r="H243" s="1670">
        <f t="shared" si="33"/>
        <v>1523.1</v>
      </c>
      <c r="I243" s="1670">
        <f t="shared" si="34"/>
        <v>1542.75</v>
      </c>
      <c r="J243" s="1671">
        <v>5</v>
      </c>
      <c r="K243" s="1671">
        <v>514.25</v>
      </c>
      <c r="L243" s="1895">
        <f>+'[33]VAL AMP4 MM'!$N$56</f>
        <v>5</v>
      </c>
      <c r="M243" s="1673">
        <f t="shared" si="35"/>
        <v>514.25</v>
      </c>
      <c r="N243" s="1674">
        <f t="shared" si="32"/>
        <v>10</v>
      </c>
      <c r="O243" s="1675">
        <f t="shared" si="36"/>
        <v>1028.5</v>
      </c>
      <c r="P243" s="1676">
        <f t="shared" si="37"/>
        <v>0.66666666666666663</v>
      </c>
      <c r="Q243" s="1677">
        <f t="shared" si="31"/>
        <v>5</v>
      </c>
      <c r="R243" s="1678">
        <f t="shared" si="38"/>
        <v>514.25</v>
      </c>
      <c r="S243" s="1679">
        <f t="shared" si="39"/>
        <v>0.33333333333333331</v>
      </c>
      <c r="T243" s="1423"/>
      <c r="U243" s="1423"/>
      <c r="V243" s="1423"/>
      <c r="W243" s="1434"/>
    </row>
    <row r="244" spans="1:23" s="1417" customFormat="1" ht="27.6">
      <c r="B244" s="1654" t="s">
        <v>3924</v>
      </c>
      <c r="C244" s="1666" t="s">
        <v>3485</v>
      </c>
      <c r="D244" s="1667" t="s">
        <v>1452</v>
      </c>
      <c r="E244" s="1668">
        <v>3</v>
      </c>
      <c r="F244" s="1669">
        <v>110.34</v>
      </c>
      <c r="G244" s="1755">
        <v>111.65</v>
      </c>
      <c r="H244" s="1670">
        <f t="shared" si="33"/>
        <v>331.02</v>
      </c>
      <c r="I244" s="1670">
        <f t="shared" si="34"/>
        <v>334.95</v>
      </c>
      <c r="J244" s="1671">
        <v>1</v>
      </c>
      <c r="K244" s="1671">
        <v>111.65</v>
      </c>
      <c r="L244" s="1895">
        <f>+'[33]VAL AMP4 MM'!$N$57</f>
        <v>1</v>
      </c>
      <c r="M244" s="1673">
        <f t="shared" si="35"/>
        <v>111.65</v>
      </c>
      <c r="N244" s="1674">
        <f t="shared" si="32"/>
        <v>2</v>
      </c>
      <c r="O244" s="1675">
        <f t="shared" si="36"/>
        <v>223.3</v>
      </c>
      <c r="P244" s="1676">
        <f t="shared" si="37"/>
        <v>0.66666666666666674</v>
      </c>
      <c r="Q244" s="1677">
        <f t="shared" si="31"/>
        <v>1</v>
      </c>
      <c r="R244" s="1678">
        <f t="shared" si="38"/>
        <v>111.65</v>
      </c>
      <c r="S244" s="1679">
        <f t="shared" si="39"/>
        <v>0.33333333333333337</v>
      </c>
      <c r="T244" s="1423"/>
      <c r="U244" s="1423"/>
      <c r="V244" s="1423"/>
      <c r="W244" s="1434"/>
    </row>
    <row r="245" spans="1:23" s="1417" customFormat="1" ht="13.8">
      <c r="A245" s="1416"/>
      <c r="B245" s="1752" t="s">
        <v>1038</v>
      </c>
      <c r="C245" s="1746" t="s">
        <v>3925</v>
      </c>
      <c r="D245" s="1667"/>
      <c r="E245" s="1668"/>
      <c r="F245" s="1669"/>
      <c r="G245" s="1755"/>
      <c r="H245" s="1670">
        <f t="shared" si="33"/>
        <v>0</v>
      </c>
      <c r="I245" s="1670">
        <f t="shared" si="34"/>
        <v>0</v>
      </c>
      <c r="J245" s="1671">
        <v>0</v>
      </c>
      <c r="K245" s="1671">
        <v>0</v>
      </c>
      <c r="L245" s="1895"/>
      <c r="M245" s="1673">
        <f t="shared" si="35"/>
        <v>0</v>
      </c>
      <c r="N245" s="1674">
        <f t="shared" si="32"/>
        <v>0</v>
      </c>
      <c r="O245" s="1675">
        <f t="shared" si="36"/>
        <v>0</v>
      </c>
      <c r="P245" s="1676" t="str">
        <f t="shared" si="37"/>
        <v/>
      </c>
      <c r="Q245" s="1677">
        <f t="shared" si="31"/>
        <v>0</v>
      </c>
      <c r="R245" s="1678">
        <f t="shared" si="38"/>
        <v>0</v>
      </c>
      <c r="S245" s="1679" t="str">
        <f t="shared" si="39"/>
        <v/>
      </c>
      <c r="T245" s="1423"/>
      <c r="U245" s="1423"/>
      <c r="V245" s="1423"/>
      <c r="W245" s="1434"/>
    </row>
    <row r="246" spans="1:23" s="1417" customFormat="1" ht="13.8">
      <c r="A246" s="1429"/>
      <c r="B246" s="1752" t="s">
        <v>509</v>
      </c>
      <c r="C246" s="1746" t="s">
        <v>3903</v>
      </c>
      <c r="D246" s="1667"/>
      <c r="E246" s="1668"/>
      <c r="F246" s="1669"/>
      <c r="G246" s="1755"/>
      <c r="H246" s="1670">
        <f t="shared" si="33"/>
        <v>0</v>
      </c>
      <c r="I246" s="1670">
        <f t="shared" si="34"/>
        <v>0</v>
      </c>
      <c r="J246" s="1671"/>
      <c r="K246" s="1671">
        <v>0</v>
      </c>
      <c r="L246" s="1895"/>
      <c r="M246" s="1673">
        <f t="shared" si="35"/>
        <v>0</v>
      </c>
      <c r="N246" s="1674"/>
      <c r="O246" s="1675">
        <f t="shared" si="36"/>
        <v>0</v>
      </c>
      <c r="P246" s="1676" t="str">
        <f t="shared" si="37"/>
        <v/>
      </c>
      <c r="Q246" s="1677"/>
      <c r="R246" s="1678">
        <f t="shared" si="38"/>
        <v>0</v>
      </c>
      <c r="S246" s="1679" t="str">
        <f t="shared" si="39"/>
        <v/>
      </c>
      <c r="T246" s="1423"/>
      <c r="U246" s="1423"/>
      <c r="V246" s="1423"/>
      <c r="W246" s="1434"/>
    </row>
    <row r="247" spans="1:23" s="1417" customFormat="1" ht="13.8">
      <c r="B247" s="1654" t="s">
        <v>3926</v>
      </c>
      <c r="C247" s="1666" t="s">
        <v>3904</v>
      </c>
      <c r="D247" s="1667" t="s">
        <v>36</v>
      </c>
      <c r="E247" s="1668">
        <v>161</v>
      </c>
      <c r="F247" s="1669">
        <v>6.34</v>
      </c>
      <c r="G247" s="1755">
        <v>6.46</v>
      </c>
      <c r="H247" s="1670">
        <f t="shared" si="33"/>
        <v>1020.74</v>
      </c>
      <c r="I247" s="1670">
        <f t="shared" si="34"/>
        <v>1040.06</v>
      </c>
      <c r="J247" s="1671">
        <v>161</v>
      </c>
      <c r="K247" s="1671">
        <v>1040.06</v>
      </c>
      <c r="L247" s="1895"/>
      <c r="M247" s="1673">
        <f t="shared" si="35"/>
        <v>0</v>
      </c>
      <c r="N247" s="1674">
        <f t="shared" si="32"/>
        <v>161</v>
      </c>
      <c r="O247" s="1675">
        <f t="shared" si="36"/>
        <v>1040.06</v>
      </c>
      <c r="P247" s="1676">
        <f t="shared" si="37"/>
        <v>1</v>
      </c>
      <c r="Q247" s="1677">
        <f t="shared" si="31"/>
        <v>0</v>
      </c>
      <c r="R247" s="1678">
        <f t="shared" si="38"/>
        <v>0</v>
      </c>
      <c r="S247" s="1679">
        <f t="shared" si="39"/>
        <v>0</v>
      </c>
      <c r="T247" s="1423"/>
      <c r="U247" s="1423"/>
      <c r="V247" s="1423"/>
      <c r="W247" s="1434"/>
    </row>
    <row r="248" spans="1:23" s="1417" customFormat="1" ht="13.8">
      <c r="A248" s="1429"/>
      <c r="B248" s="1654" t="s">
        <v>3927</v>
      </c>
      <c r="C248" s="1666" t="s">
        <v>3905</v>
      </c>
      <c r="D248" s="1667" t="s">
        <v>36</v>
      </c>
      <c r="E248" s="1668">
        <v>80</v>
      </c>
      <c r="F248" s="1669">
        <v>3.96</v>
      </c>
      <c r="G248" s="1755">
        <v>4.09</v>
      </c>
      <c r="H248" s="1670">
        <f t="shared" si="33"/>
        <v>316.8</v>
      </c>
      <c r="I248" s="1670">
        <f t="shared" si="34"/>
        <v>327.2</v>
      </c>
      <c r="J248" s="1671">
        <v>80</v>
      </c>
      <c r="K248" s="1671">
        <v>327.2</v>
      </c>
      <c r="L248" s="1895"/>
      <c r="M248" s="1673">
        <f t="shared" si="35"/>
        <v>0</v>
      </c>
      <c r="N248" s="1674">
        <f t="shared" si="32"/>
        <v>80</v>
      </c>
      <c r="O248" s="1675">
        <f t="shared" si="36"/>
        <v>327.2</v>
      </c>
      <c r="P248" s="1676">
        <f t="shared" si="37"/>
        <v>1</v>
      </c>
      <c r="Q248" s="1677">
        <f t="shared" si="31"/>
        <v>0</v>
      </c>
      <c r="R248" s="1678">
        <f t="shared" si="38"/>
        <v>0</v>
      </c>
      <c r="S248" s="1679">
        <f t="shared" si="39"/>
        <v>0</v>
      </c>
      <c r="T248" s="1423"/>
      <c r="U248" s="1423"/>
      <c r="V248" s="1423"/>
      <c r="W248" s="1434"/>
    </row>
    <row r="249" spans="1:23" s="1417" customFormat="1" ht="13.8">
      <c r="A249" s="1429"/>
      <c r="B249" s="1752" t="s">
        <v>510</v>
      </c>
      <c r="C249" s="1746" t="s">
        <v>3896</v>
      </c>
      <c r="D249" s="1667"/>
      <c r="E249" s="1668"/>
      <c r="F249" s="1669"/>
      <c r="G249" s="1755"/>
      <c r="H249" s="1670">
        <f t="shared" si="33"/>
        <v>0</v>
      </c>
      <c r="I249" s="1670">
        <f t="shared" si="34"/>
        <v>0</v>
      </c>
      <c r="J249" s="1671"/>
      <c r="K249" s="1671">
        <v>0</v>
      </c>
      <c r="L249" s="1895"/>
      <c r="M249" s="1673">
        <f t="shared" si="35"/>
        <v>0</v>
      </c>
      <c r="N249" s="1674"/>
      <c r="O249" s="1675">
        <f t="shared" si="36"/>
        <v>0</v>
      </c>
      <c r="P249" s="1676" t="str">
        <f t="shared" si="37"/>
        <v/>
      </c>
      <c r="Q249" s="1677"/>
      <c r="R249" s="1678">
        <f t="shared" si="38"/>
        <v>0</v>
      </c>
      <c r="S249" s="1679" t="str">
        <f t="shared" si="39"/>
        <v/>
      </c>
      <c r="T249" s="1423"/>
      <c r="U249" s="1423"/>
      <c r="V249" s="1423"/>
      <c r="W249" s="1434"/>
    </row>
    <row r="250" spans="1:23" s="1417" customFormat="1" ht="13.8">
      <c r="B250" s="1654" t="s">
        <v>3928</v>
      </c>
      <c r="C250" s="1666" t="s">
        <v>3462</v>
      </c>
      <c r="D250" s="1667" t="s">
        <v>3899</v>
      </c>
      <c r="E250" s="1668">
        <v>322</v>
      </c>
      <c r="F250" s="1669">
        <v>8.2100000000000009</v>
      </c>
      <c r="G250" s="1755">
        <v>8.4499999999999993</v>
      </c>
      <c r="H250" s="1670">
        <f t="shared" si="33"/>
        <v>2643.62</v>
      </c>
      <c r="I250" s="1670">
        <f t="shared" si="34"/>
        <v>2720.9</v>
      </c>
      <c r="J250" s="1671">
        <v>322</v>
      </c>
      <c r="K250" s="1671">
        <v>2720.8999999999996</v>
      </c>
      <c r="L250" s="1895"/>
      <c r="M250" s="1673">
        <f t="shared" si="35"/>
        <v>0</v>
      </c>
      <c r="N250" s="1674">
        <f t="shared" si="32"/>
        <v>322</v>
      </c>
      <c r="O250" s="1675">
        <f t="shared" si="36"/>
        <v>2720.8999999999996</v>
      </c>
      <c r="P250" s="1676">
        <f t="shared" si="37"/>
        <v>0.99999999999999978</v>
      </c>
      <c r="Q250" s="1677">
        <f t="shared" si="31"/>
        <v>0</v>
      </c>
      <c r="R250" s="1678">
        <f t="shared" si="38"/>
        <v>0</v>
      </c>
      <c r="S250" s="1679">
        <f t="shared" si="39"/>
        <v>0</v>
      </c>
      <c r="T250" s="1423"/>
      <c r="U250" s="1423"/>
      <c r="V250" s="1423"/>
      <c r="W250" s="1434"/>
    </row>
    <row r="251" spans="1:23" s="1417" customFormat="1" ht="13.8">
      <c r="A251" s="1416"/>
      <c r="B251" s="1654" t="s">
        <v>3929</v>
      </c>
      <c r="C251" s="1666" t="s">
        <v>3463</v>
      </c>
      <c r="D251" s="1667" t="s">
        <v>3899</v>
      </c>
      <c r="E251" s="1668">
        <v>161</v>
      </c>
      <c r="F251" s="1669">
        <v>7.64</v>
      </c>
      <c r="G251" s="1755">
        <v>7.88</v>
      </c>
      <c r="H251" s="1670">
        <f t="shared" si="33"/>
        <v>1230.04</v>
      </c>
      <c r="I251" s="1670">
        <f t="shared" si="34"/>
        <v>1268.68</v>
      </c>
      <c r="J251" s="1671">
        <v>0</v>
      </c>
      <c r="K251" s="1671">
        <v>0</v>
      </c>
      <c r="L251" s="1895">
        <f>+'[33]VAL AMP4 MM'!$N$64</f>
        <v>161</v>
      </c>
      <c r="M251" s="1673">
        <f t="shared" si="35"/>
        <v>1268.68</v>
      </c>
      <c r="N251" s="1674">
        <f t="shared" si="32"/>
        <v>161</v>
      </c>
      <c r="O251" s="1675">
        <f t="shared" si="36"/>
        <v>1268.68</v>
      </c>
      <c r="P251" s="1676">
        <f t="shared" si="37"/>
        <v>1</v>
      </c>
      <c r="Q251" s="1677">
        <f t="shared" si="31"/>
        <v>0</v>
      </c>
      <c r="R251" s="1678">
        <f t="shared" si="38"/>
        <v>0</v>
      </c>
      <c r="S251" s="1679">
        <f t="shared" si="39"/>
        <v>0</v>
      </c>
      <c r="T251" s="1423"/>
      <c r="U251" s="1423"/>
      <c r="V251" s="1423"/>
      <c r="W251" s="1434"/>
    </row>
    <row r="252" spans="1:23" s="1417" customFormat="1" ht="13.8">
      <c r="A252" s="1429"/>
      <c r="B252" s="1654" t="s">
        <v>3930</v>
      </c>
      <c r="C252" s="1666" t="s">
        <v>3931</v>
      </c>
      <c r="D252" s="1667"/>
      <c r="E252" s="1668"/>
      <c r="F252" s="1669"/>
      <c r="G252" s="1755"/>
      <c r="H252" s="1670"/>
      <c r="I252" s="1670"/>
      <c r="J252" s="1671"/>
      <c r="K252" s="1671">
        <v>0</v>
      </c>
      <c r="L252" s="1895"/>
      <c r="M252" s="1673">
        <f t="shared" si="35"/>
        <v>0</v>
      </c>
      <c r="N252" s="1674"/>
      <c r="O252" s="1675">
        <f t="shared" si="36"/>
        <v>0</v>
      </c>
      <c r="P252" s="1676" t="str">
        <f t="shared" si="37"/>
        <v/>
      </c>
      <c r="Q252" s="1677"/>
      <c r="R252" s="1678">
        <f t="shared" si="38"/>
        <v>0</v>
      </c>
      <c r="S252" s="1679" t="str">
        <f t="shared" si="39"/>
        <v/>
      </c>
      <c r="T252" s="1423"/>
      <c r="U252" s="1423"/>
      <c r="V252" s="1423"/>
      <c r="W252" s="1434"/>
    </row>
    <row r="253" spans="1:23" s="1417" customFormat="1" ht="13.8">
      <c r="B253" s="1654" t="s">
        <v>3932</v>
      </c>
      <c r="C253" s="1666" t="s">
        <v>3907</v>
      </c>
      <c r="D253" s="1667" t="s">
        <v>36</v>
      </c>
      <c r="E253" s="1668">
        <v>38</v>
      </c>
      <c r="F253" s="1669">
        <v>53.16</v>
      </c>
      <c r="G253" s="1755">
        <v>55.2</v>
      </c>
      <c r="H253" s="1670">
        <f t="shared" si="33"/>
        <v>2020.08</v>
      </c>
      <c r="I253" s="1670">
        <f t="shared" si="34"/>
        <v>2097.6</v>
      </c>
      <c r="J253" s="1671">
        <v>38</v>
      </c>
      <c r="K253" s="1671">
        <v>2097.6</v>
      </c>
      <c r="L253" s="1895"/>
      <c r="M253" s="1673">
        <f t="shared" si="35"/>
        <v>0</v>
      </c>
      <c r="N253" s="1674">
        <f t="shared" si="32"/>
        <v>38</v>
      </c>
      <c r="O253" s="1675">
        <f t="shared" si="36"/>
        <v>2097.6</v>
      </c>
      <c r="P253" s="1676">
        <f t="shared" si="37"/>
        <v>1</v>
      </c>
      <c r="Q253" s="1677">
        <f t="shared" si="31"/>
        <v>0</v>
      </c>
      <c r="R253" s="1678">
        <f t="shared" si="38"/>
        <v>0</v>
      </c>
      <c r="S253" s="1679">
        <f t="shared" si="39"/>
        <v>0</v>
      </c>
      <c r="T253" s="1423"/>
      <c r="U253" s="1423"/>
      <c r="V253" s="1423"/>
      <c r="W253" s="1434"/>
    </row>
    <row r="254" spans="1:23" s="1417" customFormat="1" ht="13.8">
      <c r="A254" s="1416"/>
      <c r="B254" s="1752" t="s">
        <v>3933</v>
      </c>
      <c r="C254" s="1746" t="s">
        <v>3934</v>
      </c>
      <c r="D254" s="1667"/>
      <c r="E254" s="1668"/>
      <c r="F254" s="1669"/>
      <c r="G254" s="1755"/>
      <c r="H254" s="1670">
        <f t="shared" si="33"/>
        <v>0</v>
      </c>
      <c r="I254" s="1670">
        <f t="shared" si="34"/>
        <v>0</v>
      </c>
      <c r="J254" s="1671"/>
      <c r="K254" s="1671">
        <v>0</v>
      </c>
      <c r="L254" s="1895"/>
      <c r="M254" s="1673">
        <f t="shared" si="35"/>
        <v>0</v>
      </c>
      <c r="N254" s="1674"/>
      <c r="O254" s="1675">
        <f t="shared" si="36"/>
        <v>0</v>
      </c>
      <c r="P254" s="1676" t="str">
        <f t="shared" si="37"/>
        <v/>
      </c>
      <c r="Q254" s="1677"/>
      <c r="R254" s="1678">
        <f t="shared" si="38"/>
        <v>0</v>
      </c>
      <c r="S254" s="1679" t="str">
        <f t="shared" si="39"/>
        <v/>
      </c>
      <c r="T254" s="1423"/>
      <c r="U254" s="1423"/>
      <c r="V254" s="1423"/>
      <c r="W254" s="1434"/>
    </row>
    <row r="255" spans="1:23" s="1417" customFormat="1" ht="27.6">
      <c r="A255" s="1429"/>
      <c r="B255" s="1654" t="s">
        <v>3935</v>
      </c>
      <c r="C255" s="1666" t="s">
        <v>3936</v>
      </c>
      <c r="D255" s="1667" t="s">
        <v>36</v>
      </c>
      <c r="E255" s="1668">
        <v>38</v>
      </c>
      <c r="F255" s="1669">
        <v>126.39</v>
      </c>
      <c r="G255" s="1755">
        <v>128.44</v>
      </c>
      <c r="H255" s="1670">
        <f t="shared" si="33"/>
        <v>4802.82</v>
      </c>
      <c r="I255" s="1670">
        <f t="shared" si="34"/>
        <v>4880.72</v>
      </c>
      <c r="J255" s="1671">
        <v>38</v>
      </c>
      <c r="K255" s="1671">
        <v>4880.72</v>
      </c>
      <c r="L255" s="1895"/>
      <c r="M255" s="1673">
        <f t="shared" si="35"/>
        <v>0</v>
      </c>
      <c r="N255" s="1674">
        <f t="shared" si="32"/>
        <v>38</v>
      </c>
      <c r="O255" s="1675">
        <f t="shared" si="36"/>
        <v>4880.72</v>
      </c>
      <c r="P255" s="1676">
        <f t="shared" si="37"/>
        <v>1</v>
      </c>
      <c r="Q255" s="1677">
        <f t="shared" si="31"/>
        <v>0</v>
      </c>
      <c r="R255" s="1678">
        <f t="shared" si="38"/>
        <v>0</v>
      </c>
      <c r="S255" s="1679">
        <f t="shared" si="39"/>
        <v>0</v>
      </c>
      <c r="T255" s="1423"/>
      <c r="U255" s="1423"/>
      <c r="V255" s="1423"/>
      <c r="W255" s="1434"/>
    </row>
    <row r="256" spans="1:23" s="1417" customFormat="1" ht="13.8">
      <c r="B256" s="1752" t="s">
        <v>3937</v>
      </c>
      <c r="C256" s="1746" t="s">
        <v>3938</v>
      </c>
      <c r="D256" s="1667"/>
      <c r="E256" s="1668"/>
      <c r="F256" s="1669"/>
      <c r="G256" s="1755"/>
      <c r="H256" s="1670"/>
      <c r="I256" s="1670"/>
      <c r="J256" s="1671"/>
      <c r="K256" s="1671">
        <v>0</v>
      </c>
      <c r="L256" s="1895"/>
      <c r="M256" s="1673"/>
      <c r="N256" s="1674"/>
      <c r="O256" s="1675">
        <f t="shared" si="36"/>
        <v>0</v>
      </c>
      <c r="P256" s="1676" t="str">
        <f t="shared" si="37"/>
        <v/>
      </c>
      <c r="Q256" s="1677"/>
      <c r="R256" s="1678">
        <f t="shared" si="38"/>
        <v>0</v>
      </c>
      <c r="S256" s="1679" t="str">
        <f t="shared" si="39"/>
        <v/>
      </c>
      <c r="T256" s="1423"/>
      <c r="U256" s="1423"/>
      <c r="V256" s="1423"/>
      <c r="W256" s="1434"/>
    </row>
    <row r="257" spans="1:24" s="1417" customFormat="1" ht="28.2" thickBot="1">
      <c r="A257" s="1429"/>
      <c r="B257" s="1680" t="s">
        <v>3939</v>
      </c>
      <c r="C257" s="1681" t="s">
        <v>3940</v>
      </c>
      <c r="D257" s="1682" t="s">
        <v>36</v>
      </c>
      <c r="E257" s="1683">
        <v>20</v>
      </c>
      <c r="F257" s="1684">
        <v>53.16</v>
      </c>
      <c r="G257" s="1757">
        <v>55.2</v>
      </c>
      <c r="H257" s="1670">
        <f t="shared" si="33"/>
        <v>1063.2</v>
      </c>
      <c r="I257" s="1670">
        <f t="shared" si="34"/>
        <v>1104</v>
      </c>
      <c r="J257" s="1685">
        <v>0</v>
      </c>
      <c r="K257" s="1758">
        <v>0</v>
      </c>
      <c r="L257" s="1895">
        <v>20</v>
      </c>
      <c r="M257" s="1673">
        <f t="shared" si="35"/>
        <v>1104</v>
      </c>
      <c r="N257" s="1686">
        <f t="shared" si="32"/>
        <v>20</v>
      </c>
      <c r="O257" s="1687">
        <f t="shared" si="36"/>
        <v>1104</v>
      </c>
      <c r="P257" s="1688">
        <f t="shared" si="37"/>
        <v>1</v>
      </c>
      <c r="Q257" s="1689">
        <f t="shared" si="31"/>
        <v>0</v>
      </c>
      <c r="R257" s="1690">
        <f t="shared" si="38"/>
        <v>0</v>
      </c>
      <c r="S257" s="1691">
        <f t="shared" si="39"/>
        <v>0</v>
      </c>
      <c r="T257" s="1423"/>
      <c r="U257" s="1423"/>
      <c r="V257" s="1423"/>
      <c r="W257" s="1434"/>
    </row>
    <row r="258" spans="1:24" s="561" customFormat="1" ht="13.8">
      <c r="B258" s="1253"/>
      <c r="C258" s="1327" t="s">
        <v>59</v>
      </c>
      <c r="D258" s="1328"/>
      <c r="E258" s="1328"/>
      <c r="F258" s="1328"/>
      <c r="G258" s="1328"/>
      <c r="H258" s="1329">
        <f>(SUM(H16:H257))</f>
        <v>3388063.5400000024</v>
      </c>
      <c r="I258" s="1329">
        <f>(SUM(I16:I257))</f>
        <v>3433797.0500000012</v>
      </c>
      <c r="J258" s="1759">
        <f>+K258/I258</f>
        <v>0.56218648569145913</v>
      </c>
      <c r="K258" s="1431">
        <f>SUM(K16:K257)</f>
        <v>1930434.2961172003</v>
      </c>
      <c r="L258" s="1692">
        <f>M258/H258</f>
        <v>2.5776052599651052E-2</v>
      </c>
      <c r="M258" s="1430">
        <f>SUM(M16:M257)</f>
        <v>87330.904018000001</v>
      </c>
      <c r="N258" s="1332">
        <f>+O258/H258</f>
        <v>0.59555116848109613</v>
      </c>
      <c r="O258" s="1330">
        <f>SUM(O16:O257)</f>
        <v>2017765.2001352005</v>
      </c>
      <c r="P258" s="1693" t="str">
        <f t="shared" ref="P258:P264" si="40">+IF(D258=0,"",O258/H258)</f>
        <v/>
      </c>
      <c r="Q258" s="1332">
        <f>+R258/H258</f>
        <v>0.41794726199261267</v>
      </c>
      <c r="R258" s="1329">
        <f>SUM(R16:R257)+0.05</f>
        <v>1416031.8799999997</v>
      </c>
      <c r="S258" s="1376">
        <f>+R258/H258</f>
        <v>0.41794726199261267</v>
      </c>
      <c r="T258" s="562">
        <f>+I258-O258-R258</f>
        <v>-3.0135198961943388E-2</v>
      </c>
      <c r="U258" s="562"/>
      <c r="V258" s="562"/>
      <c r="W258" s="1351">
        <f>+H258</f>
        <v>3388063.5400000024</v>
      </c>
      <c r="X258" s="562">
        <f>+T258-W258</f>
        <v>-3388063.5701352013</v>
      </c>
    </row>
    <row r="259" spans="1:24" s="49" customFormat="1" ht="13.8">
      <c r="B259" s="1694"/>
      <c r="C259" s="1695" t="s">
        <v>256</v>
      </c>
      <c r="D259" s="1696"/>
      <c r="E259" s="1697"/>
      <c r="F259" s="1697"/>
      <c r="G259" s="1697"/>
      <c r="H259" s="1698">
        <v>141516.06656581606</v>
      </c>
      <c r="I259" s="1698">
        <v>141516.06656581606</v>
      </c>
      <c r="J259" s="1760"/>
      <c r="K259" s="1761">
        <v>76566.339453643493</v>
      </c>
      <c r="L259" s="1699"/>
      <c r="M259" s="1415">
        <f>+L258*I259</f>
        <v>3647.7255754961943</v>
      </c>
      <c r="N259" s="1699"/>
      <c r="O259" s="1415">
        <f>K259+M259</f>
        <v>80214.065029139689</v>
      </c>
      <c r="P259" s="1700" t="str">
        <f t="shared" si="40"/>
        <v/>
      </c>
      <c r="Q259" s="1701"/>
      <c r="R259" s="1698">
        <f>H259-O259</f>
        <v>61302.001536676369</v>
      </c>
      <c r="S259" s="1702"/>
      <c r="T259" s="1703"/>
      <c r="U259" s="1703"/>
      <c r="V259" s="1703"/>
      <c r="W259" s="524"/>
    </row>
    <row r="260" spans="1:24" s="561" customFormat="1" ht="13.8">
      <c r="B260" s="1255"/>
      <c r="C260" s="1338" t="s">
        <v>1817</v>
      </c>
      <c r="D260" s="1339"/>
      <c r="E260" s="1333"/>
      <c r="F260" s="1333"/>
      <c r="G260" s="1333"/>
      <c r="H260" s="1334">
        <v>32001.683836142925</v>
      </c>
      <c r="I260" s="1334">
        <v>32001.683836142925</v>
      </c>
      <c r="J260" s="1762"/>
      <c r="K260" s="1761">
        <v>17314.301104791775</v>
      </c>
      <c r="L260" s="1704"/>
      <c r="M260" s="1415">
        <f>+L258*I260</f>
        <v>824.87708583782285</v>
      </c>
      <c r="N260" s="1336"/>
      <c r="O260" s="1335">
        <f t="shared" ref="O260:O261" si="41">K260+M260</f>
        <v>18139.178190629598</v>
      </c>
      <c r="P260" s="1700" t="str">
        <f t="shared" si="40"/>
        <v/>
      </c>
      <c r="Q260" s="1701"/>
      <c r="R260" s="1334">
        <f>H260-O260</f>
        <v>13862.505645513327</v>
      </c>
      <c r="S260" s="1337"/>
      <c r="T260" s="562"/>
      <c r="U260" s="562"/>
      <c r="V260" s="562"/>
      <c r="W260" s="1351"/>
    </row>
    <row r="261" spans="1:24" s="561" customFormat="1" ht="13.8">
      <c r="B261" s="1255"/>
      <c r="C261" s="1338" t="s">
        <v>3941</v>
      </c>
      <c r="D261" s="1339"/>
      <c r="E261" s="1333"/>
      <c r="F261" s="1333"/>
      <c r="G261" s="1333"/>
      <c r="H261" s="1334">
        <v>5607.6033818568603</v>
      </c>
      <c r="I261" s="1334">
        <v>5607.6033818568603</v>
      </c>
      <c r="J261" s="1762"/>
      <c r="K261" s="1761">
        <v>3033.9570232258293</v>
      </c>
      <c r="L261" s="1704"/>
      <c r="M261" s="1415">
        <f>+L258*I261</f>
        <v>144.54187972872356</v>
      </c>
      <c r="N261" s="1336"/>
      <c r="O261" s="1335">
        <f t="shared" si="41"/>
        <v>3178.4989029545527</v>
      </c>
      <c r="P261" s="1700"/>
      <c r="Q261" s="1701"/>
      <c r="R261" s="1334">
        <f>H261-O261</f>
        <v>2429.1044789023076</v>
      </c>
      <c r="S261" s="1337"/>
      <c r="T261" s="562"/>
      <c r="U261" s="562"/>
      <c r="V261" s="562"/>
      <c r="W261" s="1351"/>
    </row>
    <row r="262" spans="1:24" s="1229" customFormat="1" ht="14.4" thickBot="1">
      <c r="B262" s="1256"/>
      <c r="C262" s="1705" t="s">
        <v>61</v>
      </c>
      <c r="D262" s="1257"/>
      <c r="E262" s="1257"/>
      <c r="F262" s="1257"/>
      <c r="G262" s="1257"/>
      <c r="H262" s="1258">
        <f>SUM(H258:H261)</f>
        <v>3567188.893783818</v>
      </c>
      <c r="I262" s="1258">
        <f>SUM(I258:I261)</f>
        <v>3612922.4037838168</v>
      </c>
      <c r="J262" s="1261">
        <f>+K262/H262</f>
        <v>0.56833236311979962</v>
      </c>
      <c r="K262" s="1259">
        <f>SUM(K258:K261)</f>
        <v>2027348.8936988611</v>
      </c>
      <c r="L262" s="1706">
        <f>M262/H262</f>
        <v>2.5776052599651055E-2</v>
      </c>
      <c r="M262" s="1432">
        <f>SUM(M258:M261)</f>
        <v>91948.04855906275</v>
      </c>
      <c r="N262" s="1261">
        <f>O262/H262</f>
        <v>0.59410841571945083</v>
      </c>
      <c r="O262" s="1259">
        <f>SUM(O258:O261)</f>
        <v>2119296.9422579245</v>
      </c>
      <c r="P262" s="1707" t="str">
        <f t="shared" si="40"/>
        <v/>
      </c>
      <c r="Q262" s="1708">
        <f>+R262/H262</f>
        <v>0.41871219499025775</v>
      </c>
      <c r="R262" s="1258">
        <f>SUM(R258:R261)</f>
        <v>1493625.4916610918</v>
      </c>
      <c r="S262" s="1709">
        <f>+R262/H262</f>
        <v>0.41871219499025775</v>
      </c>
      <c r="T262" s="562">
        <f>+H262</f>
        <v>3567188.893783818</v>
      </c>
      <c r="U262" s="562"/>
      <c r="V262" s="562"/>
      <c r="W262" s="1351">
        <f>+O262+R262</f>
        <v>3612922.4339190163</v>
      </c>
      <c r="X262" s="562">
        <f>+T262-W262</f>
        <v>-45733.540135198273</v>
      </c>
    </row>
    <row r="263" spans="1:24" s="561" customFormat="1" ht="13.8">
      <c r="B263" s="1244"/>
      <c r="C263" s="1246"/>
      <c r="D263" s="1247"/>
      <c r="E263" s="1248"/>
      <c r="F263" s="1247"/>
      <c r="G263" s="1247"/>
      <c r="H263" s="1250"/>
      <c r="I263" s="1763">
        <f>I258-H258</f>
        <v>45733.509999998845</v>
      </c>
      <c r="J263" s="1251"/>
      <c r="K263" s="1252"/>
      <c r="L263" s="1710"/>
      <c r="M263" s="1433"/>
      <c r="N263" s="1247"/>
      <c r="O263" s="1251"/>
      <c r="P263" s="1711" t="str">
        <f t="shared" si="40"/>
        <v/>
      </c>
      <c r="Q263" s="1712"/>
      <c r="R263" s="1246"/>
      <c r="S263" s="1246"/>
      <c r="T263" s="562"/>
      <c r="U263" s="562"/>
      <c r="V263" s="562"/>
      <c r="W263" s="1173"/>
    </row>
    <row r="264" spans="1:24" s="561" customFormat="1" ht="13.8">
      <c r="B264" s="1713"/>
      <c r="C264" s="1714"/>
      <c r="D264" s="638"/>
      <c r="E264" s="1715"/>
      <c r="F264" s="638"/>
      <c r="G264" s="638"/>
      <c r="H264" s="1716"/>
      <c r="I264" s="1716"/>
      <c r="J264" s="1717"/>
      <c r="K264" s="638"/>
      <c r="L264" s="1718"/>
      <c r="M264" s="1611"/>
      <c r="N264" s="638"/>
      <c r="O264" s="1717"/>
      <c r="P264" s="1700" t="str">
        <f t="shared" si="40"/>
        <v/>
      </c>
      <c r="Q264" s="1719">
        <f t="shared" si="31"/>
        <v>0</v>
      </c>
      <c r="R264" s="1714"/>
      <c r="S264" s="1714"/>
      <c r="W264" s="1173"/>
    </row>
    <row r="265" spans="1:24" s="561" customFormat="1" ht="13.8">
      <c r="B265" s="1720"/>
      <c r="C265" s="1721"/>
      <c r="D265" s="2975" t="s">
        <v>62</v>
      </c>
      <c r="E265" s="2976"/>
      <c r="F265" s="2976"/>
      <c r="G265" s="2976"/>
      <c r="H265" s="2976"/>
      <c r="I265" s="2976"/>
      <c r="J265" s="2977"/>
      <c r="K265" s="1722">
        <f>+K258/H258</f>
        <v>0.56977511588144503</v>
      </c>
      <c r="L265" s="1723"/>
      <c r="M265" s="668">
        <f>+M258/H258</f>
        <v>2.5776052599651052E-2</v>
      </c>
      <c r="N265" s="683"/>
      <c r="O265" s="1724"/>
      <c r="P265" s="1725">
        <f>+O258/H258</f>
        <v>0.59555116848109613</v>
      </c>
      <c r="Q265" s="1719">
        <f t="shared" si="31"/>
        <v>0</v>
      </c>
      <c r="R265" s="1726"/>
      <c r="S265" s="1727">
        <f>+R258/H258</f>
        <v>0.41794726199261267</v>
      </c>
      <c r="T265" s="1728"/>
      <c r="U265" s="1728"/>
      <c r="V265" s="1728"/>
      <c r="W265" s="1173"/>
    </row>
    <row r="266" spans="1:24" s="561" customFormat="1" ht="13.8">
      <c r="B266" s="1713"/>
      <c r="C266" s="1714"/>
      <c r="D266" s="683"/>
      <c r="E266" s="1729"/>
      <c r="F266" s="683"/>
      <c r="G266" s="683"/>
      <c r="H266" s="1730"/>
      <c r="I266" s="1730"/>
      <c r="J266" s="683"/>
      <c r="K266" s="683"/>
      <c r="L266" s="1723"/>
      <c r="M266" s="1612"/>
      <c r="N266" s="683"/>
      <c r="O266" s="1724"/>
      <c r="P266" s="683"/>
      <c r="Q266" s="1719">
        <f t="shared" si="31"/>
        <v>0</v>
      </c>
      <c r="R266" s="1726"/>
      <c r="S266" s="1731"/>
      <c r="W266" s="1173"/>
    </row>
    <row r="267" spans="1:24" s="18" customFormat="1" ht="13.8">
      <c r="D267" s="97"/>
      <c r="E267" s="26"/>
      <c r="F267" s="523"/>
      <c r="G267" s="523"/>
      <c r="J267" s="1208"/>
      <c r="K267" s="97"/>
      <c r="L267" s="1440"/>
      <c r="M267" s="524"/>
      <c r="N267" s="524"/>
      <c r="O267" s="524"/>
      <c r="P267" s="524"/>
      <c r="Q267" s="1732"/>
      <c r="R267" s="26"/>
    </row>
    <row r="268" spans="1:24" s="18" customFormat="1" ht="13.8">
      <c r="D268" s="97"/>
      <c r="E268" s="26"/>
      <c r="F268" s="523"/>
      <c r="G268" s="523"/>
      <c r="H268" s="26"/>
      <c r="I268" s="26"/>
      <c r="J268" s="1208"/>
      <c r="K268" s="1733"/>
      <c r="L268" s="1440"/>
      <c r="M268" s="1453">
        <f>+K258+M258</f>
        <v>2017765.2001352003</v>
      </c>
      <c r="N268" s="524"/>
      <c r="O268" s="524">
        <f>+O258+R258</f>
        <v>3433797.0801352002</v>
      </c>
      <c r="P268" s="524"/>
      <c r="Q268" s="1735"/>
      <c r="R268" s="26">
        <f>+R258+O258</f>
        <v>3433797.0801352002</v>
      </c>
    </row>
    <row r="269" spans="1:24" s="18" customFormat="1" ht="13.8">
      <c r="D269" s="1736"/>
      <c r="E269" s="26"/>
      <c r="F269" s="523">
        <v>457948.8995</v>
      </c>
      <c r="G269" s="523"/>
      <c r="H269" s="26">
        <v>15398736.550000001</v>
      </c>
      <c r="I269" s="26"/>
      <c r="J269" s="1209"/>
      <c r="K269" s="1733">
        <v>616776.95999999996</v>
      </c>
      <c r="L269" s="1440"/>
      <c r="M269" s="524"/>
      <c r="N269" s="1734">
        <f>+M270-N258</f>
        <v>-0.29555116848109614</v>
      </c>
      <c r="O269" s="524">
        <f>+N269*H258</f>
        <v>-1001346.1381351997</v>
      </c>
      <c r="P269" s="524"/>
      <c r="Q269" s="1735"/>
      <c r="S269" s="200"/>
    </row>
    <row r="270" spans="1:24" s="18" customFormat="1" ht="13.8">
      <c r="D270" s="97"/>
      <c r="E270" s="26"/>
      <c r="F270" s="523"/>
      <c r="G270" s="523"/>
      <c r="H270" s="26"/>
      <c r="I270" s="26"/>
      <c r="J270" s="1209"/>
      <c r="K270" s="1737"/>
      <c r="L270" s="1738"/>
      <c r="M270" s="524">
        <v>0.3</v>
      </c>
      <c r="N270" s="524"/>
      <c r="O270" s="524"/>
      <c r="P270" s="524"/>
      <c r="Q270" s="1735"/>
      <c r="R270" s="26"/>
      <c r="S270" s="1739">
        <f>+R262+H262</f>
        <v>5060814.3854449093</v>
      </c>
      <c r="T270" s="1740"/>
    </row>
    <row r="271" spans="1:24" s="18" customFormat="1" ht="13.8">
      <c r="D271" s="97"/>
      <c r="E271" s="1216"/>
      <c r="F271" s="97"/>
      <c r="G271" s="97"/>
      <c r="H271" s="26">
        <f>+H269-H258</f>
        <v>12010673.009999998</v>
      </c>
      <c r="I271" s="26"/>
      <c r="J271" s="1209"/>
      <c r="K271" s="1412">
        <f>+K269-K259</f>
        <v>540210.62054635643</v>
      </c>
      <c r="L271" s="1440"/>
      <c r="M271" s="524"/>
      <c r="N271" s="524"/>
      <c r="O271" s="524"/>
      <c r="P271" s="524"/>
      <c r="Q271" s="1735"/>
    </row>
    <row r="272" spans="1:24" ht="13.8">
      <c r="F272" s="1237">
        <f>+H259/H258</f>
        <v>4.1769011972489736E-2</v>
      </c>
      <c r="H272" s="1741"/>
      <c r="I272" s="1741"/>
      <c r="J272" s="1741"/>
      <c r="K272" s="1322"/>
      <c r="M272" s="1742" t="e">
        <f>SUM(#REF!)</f>
        <v>#REF!</v>
      </c>
      <c r="N272" s="1743" t="e">
        <f>SUM(#REF!)</f>
        <v>#REF!</v>
      </c>
      <c r="O272" s="1743"/>
      <c r="P272" s="1743"/>
      <c r="Q272" s="1735"/>
      <c r="W272" s="1215"/>
    </row>
    <row r="273" spans="4:23" ht="13.8">
      <c r="F273" s="1237">
        <f>+H260/H258</f>
        <v>9.4454202107859229E-3</v>
      </c>
      <c r="H273" s="1741"/>
      <c r="I273" s="1741"/>
      <c r="J273" s="1741"/>
      <c r="K273" s="1322">
        <v>3211.18999999994</v>
      </c>
      <c r="L273" s="1442"/>
      <c r="M273" s="1742"/>
      <c r="N273" s="1743"/>
      <c r="O273" s="1743"/>
      <c r="P273" s="1743"/>
      <c r="Q273" s="1735"/>
      <c r="W273" s="1215"/>
    </row>
    <row r="274" spans="4:23" ht="13.8">
      <c r="H274" s="1741"/>
      <c r="I274" s="1741"/>
      <c r="J274" s="1741"/>
      <c r="K274" s="1323"/>
      <c r="L274" s="1442"/>
      <c r="M274" s="1742"/>
      <c r="N274" s="1734" t="e">
        <f>+N272/H258</f>
        <v>#REF!</v>
      </c>
      <c r="O274" s="1743"/>
      <c r="P274" s="1743"/>
      <c r="Q274" s="1735"/>
      <c r="R274" s="1744"/>
      <c r="W274" s="1215"/>
    </row>
    <row r="275" spans="4:23" ht="15.6">
      <c r="D275" s="1237"/>
      <c r="H275" s="1741"/>
      <c r="I275" s="1741"/>
      <c r="J275" s="1741"/>
      <c r="K275" s="1302"/>
      <c r="L275" s="1442"/>
      <c r="M275" s="1742"/>
      <c r="N275" s="1743"/>
      <c r="O275" s="1743"/>
      <c r="P275" s="1743"/>
      <c r="Q275" s="1735"/>
      <c r="R275" s="1744"/>
      <c r="W275" s="1215"/>
    </row>
    <row r="276" spans="4:23" ht="13.8">
      <c r="H276" s="1741"/>
      <c r="I276" s="1741"/>
      <c r="J276" s="1741"/>
      <c r="K276" s="18"/>
      <c r="L276" s="1442"/>
      <c r="M276" s="1742"/>
      <c r="N276" s="1743"/>
      <c r="O276" s="1743"/>
      <c r="P276" s="1743"/>
      <c r="Q276" s="1735"/>
      <c r="R276" s="1744"/>
      <c r="W276" s="1215"/>
    </row>
    <row r="277" spans="4:23" ht="13.8">
      <c r="H277" s="1741"/>
      <c r="I277" s="1741"/>
      <c r="J277" s="1741"/>
      <c r="K277" s="1741"/>
      <c r="L277" s="1442"/>
      <c r="M277" s="1742"/>
      <c r="N277" s="1743"/>
      <c r="O277" s="1743"/>
      <c r="P277" s="1743"/>
      <c r="Q277" s="1735"/>
      <c r="R277" s="1744"/>
      <c r="W277" s="1215"/>
    </row>
    <row r="278" spans="4:23" ht="13.8">
      <c r="H278" s="1741"/>
      <c r="I278" s="1741"/>
      <c r="J278" s="1741"/>
      <c r="K278" s="1741"/>
      <c r="L278" s="1442"/>
      <c r="M278" s="1742"/>
      <c r="N278" s="1743"/>
      <c r="O278" s="1743"/>
      <c r="P278" s="1743"/>
      <c r="Q278" s="1735"/>
      <c r="R278" s="1744"/>
      <c r="W278" s="1215"/>
    </row>
    <row r="279" spans="4:23" ht="13.8">
      <c r="H279" s="1741"/>
      <c r="I279" s="1741"/>
      <c r="J279" s="1741"/>
      <c r="K279" s="1741"/>
      <c r="L279" s="1442"/>
      <c r="M279" s="1742"/>
      <c r="N279" s="1743"/>
      <c r="O279" s="1743"/>
      <c r="P279" s="1743"/>
      <c r="Q279" s="1735"/>
      <c r="R279" s="1744"/>
      <c r="W279" s="1215"/>
    </row>
    <row r="280" spans="4:23" ht="13.8">
      <c r="H280" s="1741"/>
      <c r="I280" s="1741"/>
      <c r="J280" s="1741"/>
      <c r="K280" s="1741"/>
      <c r="L280" s="1442"/>
      <c r="M280" s="1742"/>
      <c r="N280" s="1743"/>
      <c r="O280" s="1743"/>
      <c r="P280" s="1743"/>
      <c r="Q280" s="1735"/>
      <c r="R280" s="1744"/>
      <c r="W280" s="1215"/>
    </row>
    <row r="281" spans="4:23" ht="13.8">
      <c r="H281" s="1741"/>
      <c r="I281" s="1741"/>
      <c r="J281" s="1741"/>
      <c r="K281" s="1741"/>
      <c r="L281" s="1442"/>
      <c r="M281" s="1742"/>
      <c r="N281" s="1743"/>
      <c r="O281" s="1743"/>
      <c r="P281" s="1743"/>
      <c r="Q281" s="1735"/>
      <c r="R281" s="1744"/>
      <c r="W281" s="1215"/>
    </row>
    <row r="282" spans="4:23" ht="13.8">
      <c r="H282" s="1741"/>
      <c r="I282" s="1741"/>
      <c r="J282" s="1741"/>
      <c r="K282" s="1745"/>
      <c r="L282" s="1442"/>
      <c r="M282" s="1742"/>
      <c r="N282" s="1743"/>
      <c r="O282" s="1743"/>
      <c r="P282" s="1743"/>
      <c r="Q282" s="1735"/>
      <c r="R282" s="1744"/>
      <c r="W282" s="1215"/>
    </row>
    <row r="283" spans="4:23" ht="13.8">
      <c r="H283" s="1741"/>
      <c r="I283" s="1741"/>
      <c r="J283" s="1741"/>
      <c r="K283" s="1741"/>
      <c r="L283" s="1442"/>
      <c r="M283" s="1742"/>
      <c r="N283" s="1743"/>
      <c r="O283" s="1743"/>
      <c r="P283" s="1743"/>
      <c r="Q283" s="1735"/>
      <c r="R283" s="1744"/>
      <c r="W283" s="1215"/>
    </row>
  </sheetData>
  <autoFilter ref="C1:C283" xr:uid="{00000000-0009-0000-0000-00001F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50" t="str">
        <f>'VAL. PRINC'!B3:V3</f>
        <v>INFORME CORRESPONDIENTE AL MES DE NOVIEMBRE DE 2021</v>
      </c>
      <c r="C2" s="2350"/>
      <c r="D2" s="2350"/>
      <c r="E2" s="2350"/>
      <c r="F2" s="2350"/>
      <c r="G2" s="2350"/>
      <c r="H2" s="2350"/>
      <c r="I2" s="2350"/>
      <c r="J2" s="2350"/>
      <c r="K2" s="2350"/>
      <c r="L2" s="2350"/>
      <c r="M2" s="2350"/>
      <c r="N2" s="2350"/>
    </row>
    <row r="3" spans="2:14" s="5" customFormat="1" ht="13.5" hidden="1" customHeight="1">
      <c r="B3" s="1175"/>
      <c r="C3" s="1175"/>
      <c r="D3" s="1175"/>
      <c r="E3" s="1175"/>
      <c r="F3" s="1175"/>
      <c r="G3" s="1175"/>
      <c r="H3" s="1175"/>
      <c r="I3" s="6"/>
      <c r="J3" s="7"/>
      <c r="K3" s="1175"/>
      <c r="L3" s="1175"/>
      <c r="M3" s="1175"/>
      <c r="N3" s="1175"/>
    </row>
    <row r="4" spans="2:14" s="5" customFormat="1" ht="49.5" hidden="1" customHeight="1">
      <c r="B4" s="1175"/>
      <c r="C4" s="8" t="s">
        <v>6</v>
      </c>
      <c r="D4" s="9" t="s">
        <v>4</v>
      </c>
      <c r="E4" s="2944" t="e">
        <f>#REF!</f>
        <v>#REF!</v>
      </c>
      <c r="F4" s="2944"/>
      <c r="G4" s="2944"/>
      <c r="H4" s="2944"/>
      <c r="I4" s="2944"/>
      <c r="J4" s="10" t="s">
        <v>13</v>
      </c>
      <c r="K4" s="51" t="e">
        <f>#REF!</f>
        <v>#REF!</v>
      </c>
      <c r="N4" s="51"/>
    </row>
    <row r="5" spans="2:14" s="5" customFormat="1" ht="12.75" hidden="1" customHeight="1">
      <c r="B5" s="1175"/>
      <c r="C5" s="11" t="s">
        <v>5</v>
      </c>
      <c r="D5" s="12" t="s">
        <v>4</v>
      </c>
      <c r="E5" s="13" t="e">
        <f>#REF!</f>
        <v>#REF!</v>
      </c>
      <c r="F5" s="13"/>
      <c r="G5" s="1175"/>
      <c r="H5" s="1175"/>
      <c r="I5" s="6"/>
      <c r="J5" s="2" t="s">
        <v>14</v>
      </c>
      <c r="K5" s="13" t="e">
        <f>#REF!</f>
        <v>#REF!</v>
      </c>
      <c r="M5" s="1175"/>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064" t="s">
        <v>66</v>
      </c>
      <c r="C10" s="3067" t="s">
        <v>21</v>
      </c>
      <c r="D10" s="3068"/>
      <c r="E10" s="3073" t="s">
        <v>23</v>
      </c>
      <c r="F10" s="3076" t="s">
        <v>24</v>
      </c>
      <c r="G10" s="3077"/>
      <c r="H10" s="3077"/>
      <c r="I10" s="3078"/>
      <c r="J10" s="3067" t="s">
        <v>25</v>
      </c>
      <c r="K10" s="3079"/>
    </row>
    <row r="11" spans="2:14" ht="13.35" hidden="1" customHeight="1">
      <c r="B11" s="3065"/>
      <c r="C11" s="3069"/>
      <c r="D11" s="3070"/>
      <c r="E11" s="3074"/>
      <c r="F11" s="1180" t="s">
        <v>26</v>
      </c>
      <c r="G11" s="1180" t="s">
        <v>27</v>
      </c>
      <c r="H11" s="3082" t="s">
        <v>28</v>
      </c>
      <c r="I11" s="3083"/>
      <c r="J11" s="3080"/>
      <c r="K11" s="3081"/>
    </row>
    <row r="12" spans="2:14" ht="12.75" hidden="1" customHeight="1">
      <c r="B12" s="3065"/>
      <c r="C12" s="3069"/>
      <c r="D12" s="3070"/>
      <c r="E12" s="3074"/>
      <c r="F12" s="2950" t="s">
        <v>32</v>
      </c>
      <c r="G12" s="2950" t="s">
        <v>32</v>
      </c>
      <c r="H12" s="2950" t="s">
        <v>32</v>
      </c>
      <c r="I12" s="3084" t="s">
        <v>0</v>
      </c>
      <c r="J12" s="3084" t="s">
        <v>32</v>
      </c>
      <c r="K12" s="3085" t="s">
        <v>0</v>
      </c>
    </row>
    <row r="13" spans="2:14" ht="11.1" hidden="1" customHeight="1" thickBot="1">
      <c r="B13" s="3066"/>
      <c r="C13" s="3071"/>
      <c r="D13" s="3072"/>
      <c r="E13" s="3075"/>
      <c r="F13" s="2951"/>
      <c r="G13" s="2951"/>
      <c r="H13" s="2951"/>
      <c r="I13" s="3075"/>
      <c r="J13" s="3075"/>
      <c r="K13" s="3086"/>
    </row>
    <row r="14" spans="2:14" ht="25.5" hidden="1" customHeight="1">
      <c r="B14" s="2967">
        <v>1</v>
      </c>
      <c r="C14" s="2963" t="s">
        <v>1132</v>
      </c>
      <c r="D14" s="2964"/>
      <c r="E14" s="2928">
        <v>133745.31</v>
      </c>
      <c r="F14" s="2928">
        <f>'[43]RES. VAL. '!$H$14:$H$15</f>
        <v>74832.791299999997</v>
      </c>
      <c r="G14" s="2928" t="e">
        <f>N14</f>
        <v>#REF!</v>
      </c>
      <c r="H14" s="2928" t="e">
        <f>+F14+G14</f>
        <v>#REF!</v>
      </c>
      <c r="I14" s="2961" t="e">
        <f>+H14/E14</f>
        <v>#REF!</v>
      </c>
      <c r="J14" s="2928" t="e">
        <f>+E14-H14</f>
        <v>#REF!</v>
      </c>
      <c r="K14" s="3087" t="e">
        <f>+J14/E14</f>
        <v>#REF!</v>
      </c>
      <c r="N14" s="26" t="e">
        <f>'VAL. PRINC'!#REF!</f>
        <v>#REF!</v>
      </c>
    </row>
    <row r="15" spans="2:14" ht="10.35" hidden="1" customHeight="1">
      <c r="B15" s="2968"/>
      <c r="C15" s="2965"/>
      <c r="D15" s="2966"/>
      <c r="E15" s="2929"/>
      <c r="F15" s="2929"/>
      <c r="G15" s="2929"/>
      <c r="H15" s="2929"/>
      <c r="I15" s="2962"/>
      <c r="J15" s="2929"/>
      <c r="K15" s="3088"/>
      <c r="N15" s="26" t="e">
        <f>'VAL. PRINC'!#REF!</f>
        <v>#REF!</v>
      </c>
    </row>
    <row r="16" spans="2:14" ht="13.35" hidden="1" customHeight="1">
      <c r="B16" s="1179">
        <v>2</v>
      </c>
      <c r="C16" s="703" t="str">
        <f>[41]VAL.PRINC!B38</f>
        <v>ESTRUCTURAS</v>
      </c>
      <c r="D16" s="702"/>
      <c r="E16" s="1177">
        <v>680109.61</v>
      </c>
      <c r="F16" s="1177">
        <f>'[43]RES. VAL. '!$H$16</f>
        <v>390219.46500000003</v>
      </c>
      <c r="G16" s="1177" t="e">
        <f>N15</f>
        <v>#REF!</v>
      </c>
      <c r="H16" s="705" t="e">
        <f>+F16+G16</f>
        <v>#REF!</v>
      </c>
      <c r="I16" s="104" t="e">
        <f>+H16/E16</f>
        <v>#REF!</v>
      </c>
      <c r="J16" s="798" t="e">
        <f>+E16-H16</f>
        <v>#REF!</v>
      </c>
      <c r="K16" s="799" t="e">
        <f>+J16/E16</f>
        <v>#REF!</v>
      </c>
      <c r="N16" s="26" t="e">
        <f>'VAL. PRINC'!#REF!</f>
        <v>#REF!</v>
      </c>
    </row>
    <row r="17" spans="2:14" ht="13.35" hidden="1" customHeight="1">
      <c r="B17" s="1179">
        <v>3</v>
      </c>
      <c r="C17" s="703" t="str">
        <f>[41]VAL.PRINC!B292</f>
        <v>ARQUITECTURA</v>
      </c>
      <c r="D17" s="702"/>
      <c r="E17" s="1177">
        <v>272988.28000000003</v>
      </c>
      <c r="F17" s="1177">
        <f>'[43]RES. VAL. '!$H$17</f>
        <v>72474.674800000008</v>
      </c>
      <c r="G17" s="1177"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9">
        <v>4</v>
      </c>
      <c r="C18" s="703" t="str">
        <f>[41]VAL.PRINC!B542</f>
        <v>INSTALACIONES SANITARIAS</v>
      </c>
      <c r="D18" s="702"/>
      <c r="E18" s="1177">
        <v>64335.72</v>
      </c>
      <c r="F18" s="1177">
        <f>'[43]RES. VAL. '!$H$18</f>
        <v>0</v>
      </c>
      <c r="G18" s="1177" t="e">
        <f>N17</f>
        <v>#REF!</v>
      </c>
      <c r="H18" s="705" t="e">
        <f>+F18+G18</f>
        <v>#REF!</v>
      </c>
      <c r="I18" s="104" t="e">
        <f t="shared" si="0"/>
        <v>#REF!</v>
      </c>
      <c r="J18" s="798" t="e">
        <f t="shared" si="1"/>
        <v>#REF!</v>
      </c>
      <c r="K18" s="799" t="e">
        <f t="shared" si="2"/>
        <v>#REF!</v>
      </c>
      <c r="N18" s="26" t="e">
        <f>'VAL. PRINC'!#REF!</f>
        <v>#REF!</v>
      </c>
    </row>
    <row r="19" spans="2:14" ht="13.35" hidden="1" customHeight="1">
      <c r="B19" s="1179">
        <v>5</v>
      </c>
      <c r="C19" s="703" t="str">
        <f>[41]VAL.PRINC!B601</f>
        <v>INSTALACIONES ELECTRICAS</v>
      </c>
      <c r="D19" s="702"/>
      <c r="E19" s="1177">
        <v>58450.559999999998</v>
      </c>
      <c r="F19" s="1177">
        <f>'[43]RES. VAL. '!$H$19</f>
        <v>3211.13</v>
      </c>
      <c r="G19" s="1177" t="e">
        <f>N18</f>
        <v>#REF!</v>
      </c>
      <c r="H19" s="711" t="e">
        <f>+F19+G19</f>
        <v>#REF!</v>
      </c>
      <c r="I19" s="104" t="e">
        <f t="shared" si="0"/>
        <v>#REF!</v>
      </c>
      <c r="J19" s="798" t="e">
        <f t="shared" si="1"/>
        <v>#REF!</v>
      </c>
      <c r="K19" s="799" t="e">
        <f t="shared" si="2"/>
        <v>#REF!</v>
      </c>
    </row>
    <row r="20" spans="2:14" ht="14.1" hidden="1" customHeight="1" thickBot="1">
      <c r="B20" s="3089" t="s">
        <v>1929</v>
      </c>
      <c r="C20" s="3090"/>
      <c r="D20" s="3091"/>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092" t="s">
        <v>61</v>
      </c>
      <c r="C31" s="3093"/>
      <c r="D31" s="3094"/>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095" t="s">
        <v>2156</v>
      </c>
      <c r="D35" s="3095"/>
      <c r="E35" s="3095"/>
      <c r="F35" s="3095"/>
      <c r="G35" s="3095"/>
      <c r="H35" s="3095"/>
      <c r="I35" s="3095"/>
      <c r="J35" s="3095"/>
      <c r="K35" s="3095"/>
    </row>
    <row r="36" spans="1:66" s="5" customFormat="1" ht="13.2">
      <c r="B36" s="3064" t="s">
        <v>66</v>
      </c>
      <c r="C36" s="3067" t="s">
        <v>21</v>
      </c>
      <c r="D36" s="3068"/>
      <c r="E36" s="3073" t="s">
        <v>23</v>
      </c>
      <c r="F36" s="3076" t="s">
        <v>24</v>
      </c>
      <c r="G36" s="3077"/>
      <c r="H36" s="3077"/>
      <c r="I36" s="3078"/>
      <c r="J36" s="3067" t="s">
        <v>25</v>
      </c>
      <c r="K36" s="3079"/>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065"/>
      <c r="C37" s="3069"/>
      <c r="D37" s="3070"/>
      <c r="E37" s="3074"/>
      <c r="F37" s="1180" t="s">
        <v>26</v>
      </c>
      <c r="G37" s="1180" t="s">
        <v>27</v>
      </c>
      <c r="H37" s="3082" t="s">
        <v>28</v>
      </c>
      <c r="I37" s="3083"/>
      <c r="J37" s="3080"/>
      <c r="K37" s="3081"/>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065"/>
      <c r="C38" s="3069"/>
      <c r="D38" s="3070"/>
      <c r="E38" s="3074"/>
      <c r="F38" s="2950" t="s">
        <v>32</v>
      </c>
      <c r="G38" s="2950" t="s">
        <v>32</v>
      </c>
      <c r="H38" s="2950" t="s">
        <v>32</v>
      </c>
      <c r="I38" s="3084" t="s">
        <v>0</v>
      </c>
      <c r="J38" s="3084" t="s">
        <v>32</v>
      </c>
      <c r="K38" s="3085"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066"/>
      <c r="C39" s="3071"/>
      <c r="D39" s="3072"/>
      <c r="E39" s="3075"/>
      <c r="F39" s="2951"/>
      <c r="G39" s="2951"/>
      <c r="H39" s="2951"/>
      <c r="I39" s="3075"/>
      <c r="J39" s="3075"/>
      <c r="K39" s="3086"/>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9">
        <v>1</v>
      </c>
      <c r="C40" s="3096" t="s">
        <v>1927</v>
      </c>
      <c r="D40" s="3097"/>
      <c r="E40" s="1177">
        <f>(ROUND((E20),2))</f>
        <v>1209629.48</v>
      </c>
      <c r="F40" s="1177">
        <f>'[43]RES. VAL. '!$H$38</f>
        <v>540738.0686</v>
      </c>
      <c r="G40" s="1177" t="e">
        <f>'VAL. PRINC'!#REF!</f>
        <v>#REF!</v>
      </c>
      <c r="H40" s="1177" t="e">
        <f>+F40+G40</f>
        <v>#REF!</v>
      </c>
      <c r="I40" s="1178" t="e">
        <f>+H40/E40</f>
        <v>#REF!</v>
      </c>
      <c r="J40" s="1177" t="e">
        <f>+E40-H40</f>
        <v>#REF!</v>
      </c>
      <c r="K40" s="1174"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098" t="s">
        <v>257</v>
      </c>
      <c r="D41" s="3099"/>
      <c r="E41" s="103" t="e">
        <f>H41</f>
        <v>#REF!</v>
      </c>
      <c r="F41" s="1177">
        <f>'[43]RES. VAL. '!$H$39</f>
        <v>55816.822099999998</v>
      </c>
      <c r="G41" s="103" t="e">
        <f>#REF!</f>
        <v>#REF!</v>
      </c>
      <c r="H41" s="103" t="e">
        <f>+F41+G41</f>
        <v>#REF!</v>
      </c>
      <c r="I41" s="104" t="e">
        <f>+H41/E41</f>
        <v>#REF!</v>
      </c>
      <c r="J41" s="103" t="e">
        <f>E41-H41</f>
        <v>#REF!</v>
      </c>
      <c r="K41" s="1176" t="e">
        <f>J41/E41</f>
        <v>#REF!</v>
      </c>
    </row>
    <row r="42" spans="1:66" s="53" customFormat="1" ht="13.2">
      <c r="A42" s="5"/>
      <c r="B42" s="302">
        <v>3</v>
      </c>
      <c r="C42" s="3098" t="s">
        <v>258</v>
      </c>
      <c r="D42" s="3099"/>
      <c r="E42" s="103" t="e">
        <f>H42</f>
        <v>#REF!</v>
      </c>
      <c r="F42" s="1177">
        <f>'[43]RES. VAL. '!$H$40</f>
        <v>286835.83134454</v>
      </c>
      <c r="G42" s="103" t="e">
        <f>#REF!</f>
        <v>#REF!</v>
      </c>
      <c r="H42" s="103" t="e">
        <f>+F42+G42</f>
        <v>#REF!</v>
      </c>
      <c r="I42" s="104" t="e">
        <f>+H42/E42</f>
        <v>#REF!</v>
      </c>
      <c r="J42" s="103" t="e">
        <f>E42-H42</f>
        <v>#REF!</v>
      </c>
      <c r="K42" s="1176" t="e">
        <f>J42/E42</f>
        <v>#REF!</v>
      </c>
    </row>
    <row r="43" spans="1:66" s="53" customFormat="1" ht="13.8" thickBot="1">
      <c r="B43" s="730"/>
      <c r="C43" s="3100"/>
      <c r="D43" s="3101"/>
      <c r="E43" s="731"/>
      <c r="F43" s="732"/>
      <c r="G43" s="732"/>
      <c r="H43" s="732"/>
      <c r="I43" s="733"/>
      <c r="J43" s="732"/>
      <c r="K43" s="734"/>
    </row>
    <row r="44" spans="1:66" s="5" customFormat="1" ht="13.8" thickBot="1">
      <c r="B44" s="3092" t="s">
        <v>91</v>
      </c>
      <c r="C44" s="3093"/>
      <c r="D44" s="3094"/>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58" t="s">
        <v>92</v>
      </c>
      <c r="C47" s="2959"/>
      <c r="D47" s="2959"/>
      <c r="E47" s="2960"/>
      <c r="F47" s="102">
        <f>+F44/E40</f>
        <v>0.73029860519317036</v>
      </c>
      <c r="G47" s="102" t="e">
        <f>+G44/E40</f>
        <v>#REF!</v>
      </c>
      <c r="H47" s="2954" t="e">
        <f>+H44/E40</f>
        <v>#REF!</v>
      </c>
      <c r="I47" s="2955"/>
      <c r="J47" s="2954" t="e">
        <f>+J44/E40</f>
        <v>#REF!</v>
      </c>
      <c r="K47" s="2955"/>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2958" t="s">
        <v>1928</v>
      </c>
      <c r="C50" s="2959"/>
      <c r="D50" s="2960"/>
      <c r="E50" s="803">
        <f>+F44</f>
        <v>883390.72204453999</v>
      </c>
      <c r="F50" s="803" t="e">
        <f>+G44</f>
        <v>#REF!</v>
      </c>
      <c r="G50" s="803" t="e">
        <f>+H44</f>
        <v>#REF!</v>
      </c>
      <c r="O50" s="27"/>
      <c r="P50" s="27"/>
      <c r="Q50" s="27"/>
      <c r="R50" s="27"/>
      <c r="S50" s="27"/>
      <c r="T50" s="27"/>
      <c r="U50" s="27"/>
      <c r="V50" s="27"/>
      <c r="W50" s="27"/>
    </row>
    <row r="51" spans="2:23" s="5" customFormat="1" ht="11.25" customHeight="1" thickBot="1">
      <c r="B51" s="2958" t="s">
        <v>93</v>
      </c>
      <c r="C51" s="2959"/>
      <c r="D51" s="2960"/>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workbookViewId="0"/>
  </sheetViews>
  <sheetFormatPr baseColWidth="10" defaultRowHeight="13.2"/>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02" t="s">
        <v>70</v>
      </c>
      <c r="B4" s="3102"/>
      <c r="C4" s="3102"/>
      <c r="D4" s="3102"/>
      <c r="E4" s="3102"/>
      <c r="F4" s="3102"/>
      <c r="G4" s="3102"/>
      <c r="H4" s="3102"/>
      <c r="I4" s="3102"/>
      <c r="J4" s="3102"/>
      <c r="K4" s="3102"/>
    </row>
    <row r="5" spans="1:20">
      <c r="B5" s="68" t="s">
        <v>247</v>
      </c>
      <c r="C5" s="310"/>
      <c r="D5" s="62"/>
      <c r="E5" s="310"/>
      <c r="F5" s="63"/>
      <c r="G5" s="63"/>
      <c r="H5" s="63"/>
      <c r="I5" s="64"/>
      <c r="J5" s="65"/>
      <c r="K5" s="63"/>
    </row>
    <row r="6" spans="1:20">
      <c r="A6" s="68"/>
      <c r="B6" s="3103" t="s">
        <v>248</v>
      </c>
      <c r="C6" s="3103"/>
      <c r="D6" s="3103"/>
      <c r="E6" s="3103"/>
      <c r="F6" s="3103"/>
      <c r="G6" s="3103"/>
      <c r="H6" s="3103"/>
      <c r="I6" s="3103"/>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04" t="s">
        <v>66</v>
      </c>
      <c r="B9" s="3106" t="s">
        <v>72</v>
      </c>
      <c r="C9" s="311" t="s">
        <v>73</v>
      </c>
      <c r="D9" s="3106" t="s">
        <v>74</v>
      </c>
      <c r="E9" s="3106" t="s">
        <v>75</v>
      </c>
      <c r="F9" s="3108" t="s">
        <v>76</v>
      </c>
      <c r="G9" s="3108"/>
      <c r="H9" s="3108"/>
      <c r="I9" s="3108"/>
      <c r="J9" s="3108"/>
      <c r="K9" s="3109" t="s">
        <v>77</v>
      </c>
    </row>
    <row r="10" spans="1:20" ht="14.4" thickBot="1">
      <c r="A10" s="3105"/>
      <c r="B10" s="3107"/>
      <c r="C10" s="78" t="s">
        <v>78</v>
      </c>
      <c r="D10" s="3107"/>
      <c r="E10" s="3107"/>
      <c r="F10" s="78" t="s">
        <v>79</v>
      </c>
      <c r="G10" s="78" t="s">
        <v>80</v>
      </c>
      <c r="H10" s="78" t="s">
        <v>81</v>
      </c>
      <c r="I10" s="78" t="s">
        <v>82</v>
      </c>
      <c r="J10" s="79" t="s">
        <v>2</v>
      </c>
      <c r="K10" s="3110"/>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+'[44]PARTIDAS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2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02" t="s">
        <v>474</v>
      </c>
      <c r="B4" s="3102"/>
      <c r="C4" s="3102"/>
      <c r="D4" s="3102"/>
      <c r="E4" s="3102"/>
      <c r="F4" s="3102"/>
      <c r="G4" s="3102"/>
      <c r="H4" s="3102"/>
      <c r="I4" s="3102"/>
      <c r="J4" s="3102"/>
      <c r="K4" s="3102"/>
    </row>
    <row r="5" spans="1:173" s="332" customFormat="1" ht="13.8">
      <c r="A5" s="333"/>
      <c r="B5" s="165" t="s">
        <v>247</v>
      </c>
      <c r="C5" s="310"/>
      <c r="D5" s="62"/>
      <c r="E5" s="310"/>
      <c r="F5" s="63"/>
      <c r="G5" s="63"/>
      <c r="H5" s="63"/>
      <c r="I5" s="64"/>
      <c r="J5" s="65"/>
      <c r="K5" s="63"/>
    </row>
    <row r="6" spans="1:173" s="332" customFormat="1" ht="13.8">
      <c r="A6" s="68"/>
      <c r="B6" s="3103" t="s">
        <v>248</v>
      </c>
      <c r="C6" s="3103"/>
      <c r="D6" s="3103"/>
      <c r="E6" s="3103"/>
      <c r="F6" s="3103"/>
      <c r="G6" s="3103"/>
      <c r="H6" s="3103"/>
      <c r="I6" s="3103"/>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[45]VAL.PRINC!I15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[45]VAL.PRINC!I16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[45]VAL.PRINC!I17</f>
        <v>0</v>
      </c>
    </row>
    <row r="13" spans="1:173" ht="15.6">
      <c r="A13" s="288" t="s">
        <v>42</v>
      </c>
      <c r="B13" s="416" t="s">
        <v>315</v>
      </c>
      <c r="C13" s="285"/>
      <c r="D13" s="289"/>
      <c r="E13" s="290"/>
      <c r="F13" s="289"/>
      <c r="G13" s="289"/>
      <c r="H13" s="290"/>
      <c r="I13" s="417"/>
      <c r="J13" s="287"/>
      <c r="K13" s="153"/>
      <c r="L13" s="167">
        <f>[45]VAL.PRINC!I18</f>
        <v>0</v>
      </c>
    </row>
    <row r="14" spans="1:173" ht="15.6">
      <c r="A14" s="288" t="s">
        <v>43</v>
      </c>
      <c r="B14" s="416" t="s">
        <v>34</v>
      </c>
      <c r="C14" s="285"/>
      <c r="D14" s="289"/>
      <c r="E14" s="290"/>
      <c r="F14" s="289"/>
      <c r="G14" s="289"/>
      <c r="H14" s="290"/>
      <c r="I14" s="417"/>
      <c r="J14" s="287"/>
      <c r="K14" s="153"/>
      <c r="L14" s="167">
        <f>[45]VAL.PRINC!I19</f>
        <v>0</v>
      </c>
    </row>
    <row r="15" spans="1:173" ht="15.6">
      <c r="A15" s="283" t="s">
        <v>53</v>
      </c>
      <c r="B15" s="284" t="s">
        <v>316</v>
      </c>
      <c r="C15" s="285" t="s">
        <v>314</v>
      </c>
      <c r="D15" s="285">
        <v>1</v>
      </c>
      <c r="E15" s="312"/>
      <c r="F15" s="312">
        <v>13113</v>
      </c>
      <c r="G15" s="285"/>
      <c r="H15" s="312"/>
      <c r="I15" s="286">
        <f>+F15/1000</f>
        <v>13.113</v>
      </c>
      <c r="J15" s="287">
        <f>+I15+0</f>
        <v>13.113</v>
      </c>
      <c r="K15" s="153"/>
      <c r="L15" s="167">
        <f>[45]VAL.PRINC!I20</f>
        <v>0</v>
      </c>
    </row>
    <row r="16" spans="1:173" s="125" customFormat="1" ht="15.6">
      <c r="A16" s="288" t="s">
        <v>44</v>
      </c>
      <c r="B16" s="291" t="s">
        <v>317</v>
      </c>
      <c r="C16" s="418"/>
      <c r="D16" s="419"/>
      <c r="E16" s="292"/>
      <c r="F16" s="292"/>
      <c r="G16" s="293"/>
      <c r="H16" s="312"/>
      <c r="I16" s="292"/>
      <c r="J16" s="294"/>
      <c r="K16" s="153"/>
      <c r="L16" s="167">
        <f>[45]VAL.PRINC!I21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[45]VAL.PRINC!I22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[45]VAL.PRINC!I23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[45]VAL.PRINC!I24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[45]VAL.PRINC!I25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[45]VAL.PRINC!I26</f>
        <v>0</v>
      </c>
    </row>
    <row r="22" spans="1:12" s="113" customFormat="1" ht="16.2" hidden="1">
      <c r="A22" s="288" t="s">
        <v>52</v>
      </c>
      <c r="B22" s="291" t="s">
        <v>249</v>
      </c>
      <c r="C22" s="296"/>
      <c r="D22" s="420"/>
      <c r="E22" s="292"/>
      <c r="F22" s="292"/>
      <c r="G22" s="312"/>
      <c r="H22" s="312"/>
      <c r="I22" s="292"/>
      <c r="J22" s="294"/>
      <c r="K22" s="154"/>
      <c r="L22" s="167">
        <f>[45]VAL.PRINC!I27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[45]VAL.PRINC!I28</f>
        <v>0</v>
      </c>
    </row>
    <row r="24" spans="1:12" ht="15.6" hidden="1">
      <c r="A24" s="283" t="s">
        <v>57</v>
      </c>
      <c r="B24" s="295" t="s">
        <v>325</v>
      </c>
      <c r="C24" s="418" t="s">
        <v>58</v>
      </c>
      <c r="D24" s="420" t="s">
        <v>274</v>
      </c>
      <c r="E24" s="292"/>
      <c r="F24" s="292"/>
      <c r="G24" s="293"/>
      <c r="H24" s="312"/>
      <c r="I24" s="292">
        <v>13323.83</v>
      </c>
      <c r="J24" s="294">
        <f>I24</f>
        <v>13323.83</v>
      </c>
      <c r="K24" s="152"/>
      <c r="L24" s="167">
        <f>[45]VAL.PRINC!I29</f>
        <v>0</v>
      </c>
    </row>
    <row r="25" spans="1:12" s="110" customFormat="1" ht="15.6">
      <c r="A25" s="288" t="s">
        <v>45</v>
      </c>
      <c r="B25" s="291" t="s">
        <v>326</v>
      </c>
      <c r="C25" s="296"/>
      <c r="D25" s="292"/>
      <c r="E25" s="421"/>
      <c r="F25" s="292"/>
      <c r="G25" s="297"/>
      <c r="H25" s="297"/>
      <c r="I25" s="292"/>
      <c r="J25" s="294"/>
      <c r="K25" s="152"/>
      <c r="L25" s="167">
        <f>[45]VAL.PRINC!I30</f>
        <v>0</v>
      </c>
    </row>
    <row r="26" spans="1:12" ht="15.6">
      <c r="A26" s="288" t="s">
        <v>47</v>
      </c>
      <c r="B26" s="291" t="s">
        <v>327</v>
      </c>
      <c r="C26" s="296"/>
      <c r="D26" s="292"/>
      <c r="E26" s="421"/>
      <c r="F26" s="292"/>
      <c r="G26" s="297"/>
      <c r="H26" s="297"/>
      <c r="I26" s="292"/>
      <c r="J26" s="294"/>
      <c r="K26" s="152"/>
      <c r="L26" s="167">
        <f>[45]VAL.PRINC!I31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[45]VAL.PRINC!I32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[45]VAL.PRINC!I33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[45]VAL.PRINC!I34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[45]VAL.PRINC!I35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11" t="s">
        <v>347</v>
      </c>
      <c r="G47" s="3111"/>
      <c r="H47" s="3111"/>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[45]VAL.PRINC!I36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[45]VAL.PRINC!I37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[45]VAL.PRINC!I38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[45]VAL.PRINC!I39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[45]VAL.PRINC!I40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[45]VAL.PRINC!I41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[45]VAL.PRINC!I42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[45]VAL.PRINC!I43</f>
        <v>0</v>
      </c>
    </row>
    <row r="67" spans="1:13" s="105" customFormat="1" ht="15.6" hidden="1">
      <c r="A67" s="176" t="s">
        <v>104</v>
      </c>
      <c r="B67" s="181" t="s">
        <v>128</v>
      </c>
      <c r="C67" s="189" t="s">
        <v>38</v>
      </c>
      <c r="D67" s="122"/>
      <c r="E67" s="115"/>
      <c r="F67" s="115"/>
      <c r="G67" s="115"/>
      <c r="H67" s="115"/>
      <c r="I67" s="143">
        <f t="shared" si="0"/>
        <v>0</v>
      </c>
      <c r="J67" s="119"/>
      <c r="K67" s="152"/>
      <c r="L67" s="167">
        <f>[45]VAL.PRINC!I44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[45]VAL.PRINC!I45</f>
        <v>0</v>
      </c>
    </row>
    <row r="69" spans="1:13" s="114" customFormat="1" ht="15.6" hidden="1">
      <c r="A69" s="176" t="s">
        <v>104</v>
      </c>
      <c r="B69" s="181" t="s">
        <v>242</v>
      </c>
      <c r="C69" s="192" t="s">
        <v>37</v>
      </c>
      <c r="D69" s="121"/>
      <c r="E69" s="118"/>
      <c r="F69" s="118"/>
      <c r="G69" s="118"/>
      <c r="H69" s="118"/>
      <c r="I69" s="143">
        <f t="shared" si="0"/>
        <v>0</v>
      </c>
      <c r="J69" s="119"/>
      <c r="K69" s="156"/>
      <c r="L69" s="167">
        <f>[45]VAL.PRINC!I46</f>
        <v>0</v>
      </c>
    </row>
    <row r="70" spans="1:13" s="114" customFormat="1" ht="15.6" hidden="1">
      <c r="A70" s="176" t="s">
        <v>104</v>
      </c>
      <c r="B70" s="181" t="s">
        <v>123</v>
      </c>
      <c r="C70" s="190" t="s">
        <v>40</v>
      </c>
      <c r="D70" s="121"/>
      <c r="E70" s="118"/>
      <c r="F70" s="118"/>
      <c r="G70" s="118"/>
      <c r="H70" s="118"/>
      <c r="I70" s="143">
        <f t="shared" si="0"/>
        <v>0</v>
      </c>
      <c r="J70" s="119"/>
      <c r="K70" s="156"/>
      <c r="L70" s="167">
        <f>[45]VAL.PRINC!I47</f>
        <v>0</v>
      </c>
    </row>
    <row r="71" spans="1:13" ht="15.6" hidden="1">
      <c r="A71" s="178" t="s">
        <v>105</v>
      </c>
      <c r="B71" s="184" t="s">
        <v>106</v>
      </c>
      <c r="C71" s="191"/>
      <c r="D71" s="121"/>
      <c r="E71" s="118"/>
      <c r="F71" s="118"/>
      <c r="G71" s="118"/>
      <c r="H71" s="118"/>
      <c r="I71" s="143">
        <f t="shared" si="0"/>
        <v>0</v>
      </c>
      <c r="J71" s="119"/>
      <c r="K71" s="156"/>
      <c r="L71" s="167">
        <f>[45]VAL.PRINC!I48</f>
        <v>0</v>
      </c>
    </row>
    <row r="72" spans="1:13" ht="15.6" hidden="1">
      <c r="A72" s="176" t="s">
        <v>105</v>
      </c>
      <c r="B72" s="181" t="s">
        <v>130</v>
      </c>
      <c r="C72" s="190" t="s">
        <v>38</v>
      </c>
      <c r="D72" s="121"/>
      <c r="E72" s="118"/>
      <c r="F72" s="118"/>
      <c r="G72" s="118"/>
      <c r="H72" s="118"/>
      <c r="I72" s="143">
        <f t="shared" si="0"/>
        <v>0</v>
      </c>
      <c r="J72" s="119"/>
      <c r="K72" s="156"/>
      <c r="L72" s="167">
        <f>[45]VAL.PRINC!I49</f>
        <v>0</v>
      </c>
    </row>
    <row r="73" spans="1:13" ht="15.6" hidden="1">
      <c r="A73" s="176" t="s">
        <v>105</v>
      </c>
      <c r="B73" s="181" t="s">
        <v>131</v>
      </c>
      <c r="C73" s="189" t="s">
        <v>38</v>
      </c>
      <c r="D73" s="121"/>
      <c r="E73" s="118"/>
      <c r="F73" s="118"/>
      <c r="G73" s="118"/>
      <c r="H73" s="118"/>
      <c r="I73" s="143">
        <f t="shared" si="0"/>
        <v>0</v>
      </c>
      <c r="J73" s="119"/>
      <c r="K73" s="156"/>
      <c r="L73" s="167">
        <f>[45]VAL.PRINC!I50</f>
        <v>0</v>
      </c>
    </row>
    <row r="74" spans="1:13" ht="15.6" hidden="1">
      <c r="A74" s="176" t="s">
        <v>105</v>
      </c>
      <c r="B74" s="181" t="s">
        <v>132</v>
      </c>
      <c r="C74" s="190" t="s">
        <v>38</v>
      </c>
      <c r="D74" s="121"/>
      <c r="E74" s="118"/>
      <c r="F74" s="118"/>
      <c r="G74" s="118"/>
      <c r="H74" s="118"/>
      <c r="I74" s="143">
        <f t="shared" si="0"/>
        <v>0</v>
      </c>
      <c r="J74" s="119"/>
      <c r="K74" s="156"/>
      <c r="L74" s="167">
        <f>[45]VAL.PRINC!I51</f>
        <v>0</v>
      </c>
    </row>
    <row r="75" spans="1:13" ht="15.6" hidden="1">
      <c r="A75" s="177" t="s">
        <v>107</v>
      </c>
      <c r="B75" s="185" t="s">
        <v>108</v>
      </c>
      <c r="C75" s="191"/>
      <c r="D75" s="121"/>
      <c r="E75" s="118"/>
      <c r="F75" s="118"/>
      <c r="G75" s="118"/>
      <c r="H75" s="118"/>
      <c r="I75" s="143">
        <f t="shared" si="0"/>
        <v>0</v>
      </c>
      <c r="J75" s="119"/>
      <c r="K75" s="156"/>
      <c r="L75" s="167">
        <f>[45]VAL.PRINC!I52</f>
        <v>0</v>
      </c>
    </row>
    <row r="76" spans="1:13" ht="15.6" hidden="1">
      <c r="A76" s="178" t="s">
        <v>109</v>
      </c>
      <c r="B76" s="184" t="s">
        <v>97</v>
      </c>
      <c r="C76" s="190"/>
      <c r="D76" s="121"/>
      <c r="E76" s="118"/>
      <c r="F76" s="118"/>
      <c r="G76" s="137"/>
      <c r="H76" s="118"/>
      <c r="I76" s="143">
        <f t="shared" si="0"/>
        <v>0</v>
      </c>
      <c r="J76" s="119"/>
      <c r="K76" s="157"/>
      <c r="L76" s="167">
        <f>[45]VAL.PRINC!I53</f>
        <v>0</v>
      </c>
    </row>
    <row r="77" spans="1:13" ht="15.6" hidden="1">
      <c r="A77" s="176" t="s">
        <v>109</v>
      </c>
      <c r="B77" s="181" t="s">
        <v>133</v>
      </c>
      <c r="C77" s="190" t="s">
        <v>37</v>
      </c>
      <c r="D77" s="121"/>
      <c r="E77" s="118"/>
      <c r="F77" s="118"/>
      <c r="G77" s="137"/>
      <c r="H77" s="118"/>
      <c r="I77" s="143">
        <f t="shared" si="0"/>
        <v>0</v>
      </c>
      <c r="J77" s="119"/>
      <c r="K77" s="157"/>
      <c r="L77" s="167">
        <f>[45]VAL.PRINC!I54</f>
        <v>0</v>
      </c>
    </row>
    <row r="78" spans="1:13" ht="15.6" hidden="1">
      <c r="A78" s="176" t="s">
        <v>109</v>
      </c>
      <c r="B78" s="181" t="s">
        <v>121</v>
      </c>
      <c r="C78" s="190" t="s">
        <v>37</v>
      </c>
      <c r="D78" s="121"/>
      <c r="E78" s="118"/>
      <c r="F78" s="118"/>
      <c r="G78" s="137"/>
      <c r="H78" s="118"/>
      <c r="I78" s="143">
        <f t="shared" si="0"/>
        <v>0</v>
      </c>
      <c r="J78" s="119"/>
      <c r="K78" s="157"/>
      <c r="L78" s="167">
        <f>[45]VAL.PRINC!I55</f>
        <v>0</v>
      </c>
    </row>
    <row r="79" spans="1:13" ht="15.6" hidden="1">
      <c r="A79" s="176" t="s">
        <v>109</v>
      </c>
      <c r="B79" s="181" t="s">
        <v>134</v>
      </c>
      <c r="C79" s="190" t="s">
        <v>243</v>
      </c>
      <c r="D79" s="121"/>
      <c r="E79" s="118"/>
      <c r="F79" s="118"/>
      <c r="G79" s="137"/>
      <c r="H79" s="118"/>
      <c r="I79" s="143">
        <f t="shared" si="0"/>
        <v>0</v>
      </c>
      <c r="J79" s="117"/>
      <c r="K79" s="157"/>
      <c r="L79" s="167">
        <f>[45]VAL.PRINC!I56</f>
        <v>0</v>
      </c>
    </row>
    <row r="80" spans="1:13" ht="15.6" hidden="1">
      <c r="A80" s="178" t="s">
        <v>110</v>
      </c>
      <c r="B80" s="184" t="s">
        <v>99</v>
      </c>
      <c r="C80" s="190"/>
      <c r="D80" s="121"/>
      <c r="E80" s="118"/>
      <c r="F80" s="118"/>
      <c r="G80" s="137"/>
      <c r="H80" s="118"/>
      <c r="I80" s="143">
        <f t="shared" si="0"/>
        <v>0</v>
      </c>
      <c r="J80" s="117"/>
      <c r="K80" s="157"/>
      <c r="L80" s="167">
        <f>[45]VAL.PRINC!I57</f>
        <v>0</v>
      </c>
    </row>
    <row r="81" spans="1:12" ht="15.6" hidden="1">
      <c r="A81" s="179" t="s">
        <v>111</v>
      </c>
      <c r="B81" s="186" t="s">
        <v>135</v>
      </c>
      <c r="C81" s="189"/>
      <c r="D81" s="121"/>
      <c r="E81" s="118"/>
      <c r="F81" s="118"/>
      <c r="G81" s="137"/>
      <c r="H81" s="118"/>
      <c r="I81" s="143">
        <f t="shared" si="0"/>
        <v>0</v>
      </c>
      <c r="J81" s="117"/>
      <c r="K81" s="157"/>
      <c r="L81" s="167">
        <f>[45]VAL.PRINC!I58</f>
        <v>0</v>
      </c>
    </row>
    <row r="82" spans="1:12" ht="15.6" hidden="1">
      <c r="A82" s="176" t="s">
        <v>111</v>
      </c>
      <c r="B82" s="181" t="s">
        <v>136</v>
      </c>
      <c r="C82" s="190" t="s">
        <v>40</v>
      </c>
      <c r="D82" s="121"/>
      <c r="E82" s="118"/>
      <c r="F82" s="118"/>
      <c r="G82" s="137"/>
      <c r="H82" s="118"/>
      <c r="I82" s="143">
        <f t="shared" si="0"/>
        <v>0</v>
      </c>
      <c r="J82" s="117"/>
      <c r="K82" s="157"/>
      <c r="L82" s="167">
        <f>[45]VAL.PRINC!I59</f>
        <v>0</v>
      </c>
    </row>
    <row r="83" spans="1:12" ht="15.6" hidden="1">
      <c r="A83" s="176" t="s">
        <v>111</v>
      </c>
      <c r="B83" s="181" t="s">
        <v>137</v>
      </c>
      <c r="C83" s="190" t="s">
        <v>40</v>
      </c>
      <c r="D83" s="121"/>
      <c r="E83" s="118"/>
      <c r="F83" s="118"/>
      <c r="G83" s="137"/>
      <c r="H83" s="118"/>
      <c r="I83" s="143">
        <f t="shared" si="0"/>
        <v>0</v>
      </c>
      <c r="J83" s="117"/>
      <c r="K83" s="157"/>
      <c r="L83" s="167">
        <f>[45]VAL.PRINC!I60</f>
        <v>0</v>
      </c>
    </row>
    <row r="84" spans="1:12" ht="15.6" hidden="1">
      <c r="A84" s="176" t="s">
        <v>111</v>
      </c>
      <c r="B84" s="181" t="s">
        <v>138</v>
      </c>
      <c r="C84" s="190" t="s">
        <v>40</v>
      </c>
      <c r="D84" s="121"/>
      <c r="E84" s="118"/>
      <c r="F84" s="118"/>
      <c r="G84" s="137"/>
      <c r="H84" s="118"/>
      <c r="I84" s="143">
        <f t="shared" si="0"/>
        <v>0</v>
      </c>
      <c r="J84" s="117"/>
      <c r="K84" s="157"/>
      <c r="L84" s="167">
        <f>[45]VAL.PRINC!I61</f>
        <v>0</v>
      </c>
    </row>
    <row r="85" spans="1:12" ht="15.6" hidden="1">
      <c r="A85" s="179" t="s">
        <v>112</v>
      </c>
      <c r="B85" s="186" t="s">
        <v>113</v>
      </c>
      <c r="C85" s="193"/>
      <c r="D85" s="121"/>
      <c r="E85" s="118"/>
      <c r="F85" s="118"/>
      <c r="G85" s="137"/>
      <c r="H85" s="118"/>
      <c r="I85" s="143">
        <f t="shared" si="0"/>
        <v>0</v>
      </c>
      <c r="J85" s="117"/>
      <c r="K85" s="157"/>
      <c r="L85" s="167">
        <f>[45]VAL.PRINC!I62</f>
        <v>0</v>
      </c>
    </row>
    <row r="86" spans="1:12" ht="15.6" hidden="1">
      <c r="A86" s="176" t="s">
        <v>112</v>
      </c>
      <c r="B86" s="181" t="s">
        <v>123</v>
      </c>
      <c r="C86" s="194" t="s">
        <v>40</v>
      </c>
      <c r="D86" s="121"/>
      <c r="E86" s="118"/>
      <c r="F86" s="118"/>
      <c r="G86" s="137"/>
      <c r="H86" s="118"/>
      <c r="I86" s="143">
        <f t="shared" si="0"/>
        <v>0</v>
      </c>
      <c r="J86" s="117"/>
      <c r="K86" s="157"/>
      <c r="L86" s="167">
        <f>[45]VAL.PRINC!I63</f>
        <v>0</v>
      </c>
    </row>
    <row r="87" spans="1:12" ht="15.6" hidden="1">
      <c r="A87" s="179" t="s">
        <v>114</v>
      </c>
      <c r="B87" s="186" t="s">
        <v>244</v>
      </c>
      <c r="C87" s="195"/>
      <c r="D87" s="121"/>
      <c r="E87" s="118"/>
      <c r="F87" s="118"/>
      <c r="G87" s="137"/>
      <c r="H87" s="118"/>
      <c r="I87" s="143">
        <f t="shared" si="0"/>
        <v>0</v>
      </c>
      <c r="J87" s="117"/>
      <c r="K87" s="157"/>
      <c r="L87" s="167">
        <f>[45]VAL.PRINC!I64</f>
        <v>0</v>
      </c>
    </row>
    <row r="88" spans="1:12" ht="15.6" hidden="1">
      <c r="A88" s="176" t="s">
        <v>114</v>
      </c>
      <c r="B88" s="181" t="s">
        <v>120</v>
      </c>
      <c r="C88" s="189" t="s">
        <v>241</v>
      </c>
      <c r="D88" s="121"/>
      <c r="E88" s="118"/>
      <c r="F88" s="118"/>
      <c r="G88" s="137"/>
      <c r="H88" s="118"/>
      <c r="I88" s="143">
        <f t="shared" si="0"/>
        <v>0</v>
      </c>
      <c r="J88" s="117"/>
      <c r="K88" s="157"/>
      <c r="L88" s="167">
        <f>[45]VAL.PRINC!I65</f>
        <v>0</v>
      </c>
    </row>
    <row r="89" spans="1:12" ht="15.6" hidden="1">
      <c r="A89" s="178" t="s">
        <v>115</v>
      </c>
      <c r="B89" s="184" t="s">
        <v>116</v>
      </c>
      <c r="C89" s="190"/>
      <c r="D89" s="121"/>
      <c r="E89" s="118"/>
      <c r="F89" s="118"/>
      <c r="G89" s="137"/>
      <c r="H89" s="118"/>
      <c r="I89" s="143">
        <f t="shared" si="0"/>
        <v>0</v>
      </c>
      <c r="J89" s="117"/>
      <c r="K89" s="157"/>
      <c r="L89" s="167">
        <f>[45]VAL.PRINC!I66</f>
        <v>0</v>
      </c>
    </row>
    <row r="90" spans="1:12" ht="15.6" hidden="1">
      <c r="A90" s="179" t="s">
        <v>117</v>
      </c>
      <c r="B90" s="186" t="s">
        <v>139</v>
      </c>
      <c r="C90" s="190"/>
      <c r="D90" s="121"/>
      <c r="E90" s="118"/>
      <c r="F90" s="118"/>
      <c r="G90" s="137"/>
      <c r="H90" s="118"/>
      <c r="I90" s="143">
        <f t="shared" si="0"/>
        <v>0</v>
      </c>
      <c r="J90" s="117"/>
      <c r="K90" s="157"/>
      <c r="L90" s="167">
        <f>[45]VAL.PRINC!I67</f>
        <v>0</v>
      </c>
    </row>
    <row r="91" spans="1:12" ht="15.6" hidden="1">
      <c r="A91" s="176" t="s">
        <v>117</v>
      </c>
      <c r="B91" s="181" t="s">
        <v>140</v>
      </c>
      <c r="C91" s="192" t="s">
        <v>37</v>
      </c>
      <c r="D91" s="121"/>
      <c r="E91" s="118"/>
      <c r="F91" s="118"/>
      <c r="G91" s="137"/>
      <c r="H91" s="118"/>
      <c r="I91" s="143">
        <f t="shared" si="0"/>
        <v>0</v>
      </c>
      <c r="J91" s="141"/>
      <c r="K91" s="156"/>
      <c r="L91" s="167">
        <f>[45]VAL.PRINC!I68</f>
        <v>0</v>
      </c>
    </row>
    <row r="92" spans="1:12" ht="15.6" hidden="1">
      <c r="A92" s="176" t="s">
        <v>117</v>
      </c>
      <c r="B92" s="181" t="s">
        <v>163</v>
      </c>
      <c r="C92" s="190" t="s">
        <v>37</v>
      </c>
      <c r="D92" s="121"/>
      <c r="E92" s="118"/>
      <c r="F92" s="118"/>
      <c r="G92" s="137"/>
      <c r="H92" s="118"/>
      <c r="I92" s="143">
        <f t="shared" si="0"/>
        <v>0</v>
      </c>
      <c r="J92" s="141"/>
      <c r="K92" s="158"/>
      <c r="L92" s="167">
        <f>[45]VAL.PRINC!I69</f>
        <v>0</v>
      </c>
    </row>
    <row r="93" spans="1:12" ht="15.6" hidden="1">
      <c r="A93" s="176" t="s">
        <v>117</v>
      </c>
      <c r="B93" s="181" t="s">
        <v>164</v>
      </c>
      <c r="C93" s="189" t="s">
        <v>37</v>
      </c>
      <c r="D93" s="121"/>
      <c r="E93" s="118"/>
      <c r="F93" s="118"/>
      <c r="G93" s="137"/>
      <c r="H93" s="118"/>
      <c r="I93" s="143">
        <f t="shared" si="0"/>
        <v>0</v>
      </c>
      <c r="J93" s="119"/>
      <c r="K93" s="153"/>
      <c r="L93" s="167">
        <f>[45]VAL.PRINC!I70</f>
        <v>0</v>
      </c>
    </row>
    <row r="94" spans="1:12" ht="15.6" hidden="1">
      <c r="A94" s="179" t="s">
        <v>141</v>
      </c>
      <c r="B94" s="186" t="s">
        <v>165</v>
      </c>
      <c r="C94" s="189"/>
      <c r="D94" s="121"/>
      <c r="E94" s="118"/>
      <c r="F94" s="118"/>
      <c r="G94" s="137"/>
      <c r="H94" s="118"/>
      <c r="I94" s="143">
        <f t="shared" si="0"/>
        <v>0</v>
      </c>
      <c r="J94" s="119"/>
      <c r="K94" s="153"/>
      <c r="L94" s="167">
        <f>[45]VAL.PRINC!I71</f>
        <v>0</v>
      </c>
    </row>
    <row r="95" spans="1:12" ht="15.6" hidden="1">
      <c r="A95" s="176" t="s">
        <v>141</v>
      </c>
      <c r="B95" s="181" t="s">
        <v>166</v>
      </c>
      <c r="C95" s="189" t="s">
        <v>37</v>
      </c>
      <c r="D95" s="121"/>
      <c r="E95" s="118"/>
      <c r="F95" s="118"/>
      <c r="G95" s="137"/>
      <c r="H95" s="118"/>
      <c r="I95" s="143">
        <f t="shared" si="0"/>
        <v>0</v>
      </c>
      <c r="J95" s="119"/>
      <c r="K95" s="153"/>
      <c r="L95" s="167">
        <f>[45]VAL.PRINC!I72</f>
        <v>0</v>
      </c>
    </row>
    <row r="96" spans="1:12" ht="15.6" hidden="1">
      <c r="A96" s="178" t="s">
        <v>142</v>
      </c>
      <c r="B96" s="184" t="s">
        <v>143</v>
      </c>
      <c r="C96" s="196"/>
      <c r="D96" s="121"/>
      <c r="E96" s="118"/>
      <c r="F96" s="118"/>
      <c r="G96" s="137"/>
      <c r="H96" s="118"/>
      <c r="I96" s="143">
        <f t="shared" si="0"/>
        <v>0</v>
      </c>
      <c r="J96" s="119"/>
      <c r="K96" s="153"/>
      <c r="L96" s="167">
        <f>[45]VAL.PRINC!I73</f>
        <v>0</v>
      </c>
    </row>
    <row r="97" spans="1:12" ht="15.6" hidden="1">
      <c r="A97" s="176" t="s">
        <v>142</v>
      </c>
      <c r="B97" s="181" t="s">
        <v>167</v>
      </c>
      <c r="C97" s="190" t="s">
        <v>40</v>
      </c>
      <c r="D97" s="121"/>
      <c r="E97" s="118"/>
      <c r="F97" s="118"/>
      <c r="G97" s="137"/>
      <c r="H97" s="118"/>
      <c r="I97" s="143">
        <f t="shared" si="0"/>
        <v>0</v>
      </c>
      <c r="J97" s="119"/>
      <c r="K97" s="153"/>
      <c r="L97" s="167">
        <f>[45]VAL.PRINC!I74</f>
        <v>0</v>
      </c>
    </row>
    <row r="98" spans="1:12" ht="15.6" hidden="1">
      <c r="A98" s="176" t="s">
        <v>142</v>
      </c>
      <c r="B98" s="181" t="s">
        <v>168</v>
      </c>
      <c r="C98" s="190" t="s">
        <v>40</v>
      </c>
      <c r="D98" s="121"/>
      <c r="E98" s="118"/>
      <c r="F98" s="118"/>
      <c r="G98" s="137"/>
      <c r="H98" s="118"/>
      <c r="I98" s="143">
        <f t="shared" si="0"/>
        <v>0</v>
      </c>
      <c r="J98" s="119"/>
      <c r="K98" s="153"/>
      <c r="L98" s="167">
        <f>[45]VAL.PRINC!I75</f>
        <v>0</v>
      </c>
    </row>
    <row r="99" spans="1:12" ht="15.6" hidden="1">
      <c r="A99" s="176" t="s">
        <v>142</v>
      </c>
      <c r="B99" s="181" t="s">
        <v>103</v>
      </c>
      <c r="C99" s="189" t="s">
        <v>40</v>
      </c>
      <c r="D99" s="121"/>
      <c r="E99" s="118"/>
      <c r="F99" s="118"/>
      <c r="G99" s="137"/>
      <c r="H99" s="118"/>
      <c r="I99" s="143">
        <f t="shared" si="0"/>
        <v>0</v>
      </c>
      <c r="J99" s="119"/>
      <c r="K99" s="153"/>
      <c r="L99" s="167">
        <f>[45]VAL.PRINC!I76</f>
        <v>0</v>
      </c>
    </row>
    <row r="100" spans="1:12" ht="15.6" hidden="1">
      <c r="A100" s="176" t="s">
        <v>142</v>
      </c>
      <c r="B100" s="181" t="s">
        <v>144</v>
      </c>
      <c r="C100" s="190" t="s">
        <v>40</v>
      </c>
      <c r="D100" s="121"/>
      <c r="E100" s="118"/>
      <c r="F100" s="118"/>
      <c r="G100" s="137"/>
      <c r="H100" s="118"/>
      <c r="I100" s="143">
        <f t="shared" si="0"/>
        <v>0</v>
      </c>
      <c r="J100" s="119"/>
      <c r="K100" s="153"/>
      <c r="L100" s="167">
        <f>[45]VAL.PRINC!I77</f>
        <v>0</v>
      </c>
    </row>
    <row r="101" spans="1:12" ht="15.6" hidden="1">
      <c r="A101" s="178" t="s">
        <v>145</v>
      </c>
      <c r="B101" s="184" t="s">
        <v>146</v>
      </c>
      <c r="C101" s="188"/>
      <c r="D101" s="121"/>
      <c r="E101" s="118"/>
      <c r="F101" s="118"/>
      <c r="G101" s="137"/>
      <c r="H101" s="118"/>
      <c r="I101" s="143">
        <f t="shared" si="0"/>
        <v>0</v>
      </c>
      <c r="J101" s="119"/>
      <c r="K101" s="156"/>
      <c r="L101" s="167">
        <f>[45]VAL.PRINC!I78</f>
        <v>0</v>
      </c>
    </row>
    <row r="102" spans="1:12" ht="15.6" hidden="1">
      <c r="A102" s="179" t="s">
        <v>147</v>
      </c>
      <c r="B102" s="186" t="s">
        <v>148</v>
      </c>
      <c r="C102" s="190"/>
      <c r="D102" s="121"/>
      <c r="E102" s="118"/>
      <c r="F102" s="118"/>
      <c r="G102" s="137"/>
      <c r="H102" s="118"/>
      <c r="I102" s="143">
        <f t="shared" si="0"/>
        <v>0</v>
      </c>
      <c r="J102" s="119"/>
      <c r="K102" s="159"/>
      <c r="L102" s="167">
        <f>[45]VAL.PRINC!I79</f>
        <v>0</v>
      </c>
    </row>
    <row r="103" spans="1:12" ht="15.6" hidden="1">
      <c r="A103" s="176" t="s">
        <v>147</v>
      </c>
      <c r="B103" s="181" t="s">
        <v>149</v>
      </c>
      <c r="C103" s="189" t="s">
        <v>40</v>
      </c>
      <c r="D103" s="121"/>
      <c r="E103" s="118"/>
      <c r="F103" s="118"/>
      <c r="G103" s="137"/>
      <c r="H103" s="118"/>
      <c r="I103" s="143">
        <f t="shared" si="0"/>
        <v>0</v>
      </c>
      <c r="J103" s="119"/>
      <c r="K103" s="159"/>
      <c r="L103" s="167">
        <f>[45]VAL.PRINC!I80</f>
        <v>0</v>
      </c>
    </row>
    <row r="104" spans="1:12" ht="15.6" hidden="1">
      <c r="A104" s="176" t="s">
        <v>147</v>
      </c>
      <c r="B104" s="181" t="s">
        <v>150</v>
      </c>
      <c r="C104" s="190" t="s">
        <v>40</v>
      </c>
      <c r="D104" s="121"/>
      <c r="E104" s="118"/>
      <c r="F104" s="118"/>
      <c r="G104" s="137"/>
      <c r="H104" s="118"/>
      <c r="I104" s="143">
        <f t="shared" si="0"/>
        <v>0</v>
      </c>
      <c r="J104" s="119"/>
      <c r="K104" s="156"/>
      <c r="L104" s="167">
        <f>[45]VAL.PRINC!I81</f>
        <v>0</v>
      </c>
    </row>
    <row r="105" spans="1:12" ht="15.6" hidden="1">
      <c r="A105" s="176" t="s">
        <v>147</v>
      </c>
      <c r="B105" s="181" t="s">
        <v>151</v>
      </c>
      <c r="C105" s="190" t="s">
        <v>37</v>
      </c>
      <c r="D105" s="121"/>
      <c r="E105" s="118"/>
      <c r="F105" s="118"/>
      <c r="G105" s="137"/>
      <c r="H105" s="118"/>
      <c r="I105" s="143">
        <f t="shared" si="0"/>
        <v>0</v>
      </c>
      <c r="J105" s="119"/>
      <c r="K105" s="160"/>
      <c r="L105" s="167">
        <f>[45]VAL.PRINC!I82</f>
        <v>0</v>
      </c>
    </row>
    <row r="106" spans="1:12" ht="15.6" hidden="1">
      <c r="A106" s="179" t="s">
        <v>152</v>
      </c>
      <c r="B106" s="186" t="s">
        <v>153</v>
      </c>
      <c r="C106" s="197"/>
      <c r="D106" s="147"/>
      <c r="E106" s="148"/>
      <c r="F106" s="148"/>
      <c r="G106" s="148"/>
      <c r="H106" s="148"/>
      <c r="I106" s="143">
        <f t="shared" si="0"/>
        <v>0</v>
      </c>
      <c r="J106" s="148"/>
      <c r="K106" s="161"/>
      <c r="L106" s="167">
        <f>[45]VAL.PRINC!I83</f>
        <v>0</v>
      </c>
    </row>
    <row r="107" spans="1:12" ht="15.6" hidden="1">
      <c r="A107" s="176" t="s">
        <v>152</v>
      </c>
      <c r="B107" s="181" t="s">
        <v>169</v>
      </c>
      <c r="C107" s="190" t="s">
        <v>48</v>
      </c>
      <c r="D107" s="147"/>
      <c r="E107" s="148"/>
      <c r="F107" s="148"/>
      <c r="G107" s="148"/>
      <c r="H107" s="148"/>
      <c r="I107" s="143">
        <f t="shared" si="0"/>
        <v>0</v>
      </c>
      <c r="J107" s="148"/>
      <c r="K107" s="161"/>
      <c r="L107" s="167">
        <f>[45]VAL.PRINC!I84</f>
        <v>0</v>
      </c>
    </row>
    <row r="108" spans="1:12" ht="15.6" hidden="1">
      <c r="A108" s="176" t="s">
        <v>152</v>
      </c>
      <c r="B108" s="181" t="s">
        <v>170</v>
      </c>
      <c r="C108" s="192" t="s">
        <v>48</v>
      </c>
      <c r="D108" s="147"/>
      <c r="E108" s="148"/>
      <c r="F108" s="148"/>
      <c r="G108" s="148"/>
      <c r="H108" s="148"/>
      <c r="I108" s="143">
        <f t="shared" si="0"/>
        <v>0</v>
      </c>
      <c r="J108" s="148"/>
      <c r="K108" s="161"/>
      <c r="L108" s="167">
        <f>[45]VAL.PRINC!I85</f>
        <v>0</v>
      </c>
    </row>
    <row r="109" spans="1:12" ht="15.6" hidden="1">
      <c r="A109" s="176" t="s">
        <v>152</v>
      </c>
      <c r="B109" s="181" t="s">
        <v>171</v>
      </c>
      <c r="C109" s="190" t="s">
        <v>48</v>
      </c>
      <c r="D109" s="147"/>
      <c r="E109" s="148"/>
      <c r="F109" s="148"/>
      <c r="G109" s="148"/>
      <c r="H109" s="148"/>
      <c r="I109" s="143">
        <f t="shared" si="0"/>
        <v>0</v>
      </c>
      <c r="J109" s="148"/>
      <c r="K109" s="161"/>
      <c r="L109" s="167">
        <f>[45]VAL.PRINC!I86</f>
        <v>0</v>
      </c>
    </row>
    <row r="110" spans="1:12" ht="15.6" hidden="1">
      <c r="A110" s="179" t="s">
        <v>154</v>
      </c>
      <c r="B110" s="186" t="s">
        <v>172</v>
      </c>
      <c r="C110" s="191"/>
      <c r="D110" s="147"/>
      <c r="E110" s="148"/>
      <c r="F110" s="148"/>
      <c r="G110" s="148"/>
      <c r="H110" s="148"/>
      <c r="I110" s="143">
        <f t="shared" si="0"/>
        <v>0</v>
      </c>
      <c r="J110" s="148"/>
      <c r="K110" s="161"/>
      <c r="L110" s="167">
        <f>[45]VAL.PRINC!I87</f>
        <v>0</v>
      </c>
    </row>
    <row r="111" spans="1:12" ht="15.6" hidden="1">
      <c r="A111" s="176" t="s">
        <v>154</v>
      </c>
      <c r="B111" s="181" t="s">
        <v>173</v>
      </c>
      <c r="C111" s="190" t="s">
        <v>245</v>
      </c>
      <c r="D111" s="147"/>
      <c r="E111" s="148"/>
      <c r="F111" s="148"/>
      <c r="G111" s="148"/>
      <c r="H111" s="148"/>
      <c r="I111" s="143">
        <f t="shared" si="0"/>
        <v>0</v>
      </c>
      <c r="J111" s="148"/>
      <c r="K111" s="161"/>
      <c r="L111" s="167">
        <f>[45]VAL.PRINC!I88</f>
        <v>0</v>
      </c>
    </row>
    <row r="112" spans="1:12" ht="15.6" hidden="1">
      <c r="A112" s="176" t="s">
        <v>154</v>
      </c>
      <c r="B112" s="181" t="s">
        <v>174</v>
      </c>
      <c r="C112" s="190" t="s">
        <v>245</v>
      </c>
      <c r="D112" s="147"/>
      <c r="E112" s="148"/>
      <c r="F112" s="148"/>
      <c r="G112" s="148"/>
      <c r="H112" s="148"/>
      <c r="I112" s="143">
        <f t="shared" si="0"/>
        <v>0</v>
      </c>
      <c r="J112" s="148"/>
      <c r="K112" s="161"/>
      <c r="L112" s="167">
        <f>[45]VAL.PRINC!I89</f>
        <v>0</v>
      </c>
    </row>
    <row r="113" spans="1:12" ht="15.6" hidden="1">
      <c r="A113" s="176" t="s">
        <v>154</v>
      </c>
      <c r="B113" s="181" t="s">
        <v>175</v>
      </c>
      <c r="C113" s="189" t="s">
        <v>245</v>
      </c>
      <c r="D113" s="147"/>
      <c r="E113" s="148"/>
      <c r="F113" s="148"/>
      <c r="G113" s="148"/>
      <c r="H113" s="148"/>
      <c r="I113" s="143">
        <f t="shared" si="0"/>
        <v>0</v>
      </c>
      <c r="J113" s="148"/>
      <c r="K113" s="161"/>
      <c r="L113" s="167">
        <f>[45]VAL.PRINC!I90</f>
        <v>0</v>
      </c>
    </row>
    <row r="114" spans="1:12" ht="15.6" hidden="1">
      <c r="A114" s="176" t="s">
        <v>154</v>
      </c>
      <c r="B114" s="181" t="s">
        <v>176</v>
      </c>
      <c r="C114" s="190" t="s">
        <v>245</v>
      </c>
      <c r="D114" s="147"/>
      <c r="E114" s="148"/>
      <c r="F114" s="148"/>
      <c r="G114" s="148"/>
      <c r="H114" s="148"/>
      <c r="I114" s="143">
        <f t="shared" si="0"/>
        <v>0</v>
      </c>
      <c r="J114" s="148"/>
      <c r="K114" s="161"/>
      <c r="L114" s="167">
        <f>[45]VAL.PRINC!I91</f>
        <v>0</v>
      </c>
    </row>
    <row r="115" spans="1:12" ht="15.6" hidden="1">
      <c r="A115" s="178" t="s">
        <v>155</v>
      </c>
      <c r="B115" s="184" t="s">
        <v>156</v>
      </c>
      <c r="C115" s="188"/>
      <c r="D115" s="147"/>
      <c r="E115" s="148"/>
      <c r="F115" s="148"/>
      <c r="G115" s="148"/>
      <c r="H115" s="148"/>
      <c r="I115" s="143">
        <f t="shared" si="0"/>
        <v>0</v>
      </c>
      <c r="J115" s="148"/>
      <c r="K115" s="161"/>
      <c r="L115" s="167">
        <f>[45]VAL.PRINC!I92</f>
        <v>0</v>
      </c>
    </row>
    <row r="116" spans="1:12" ht="15.6" hidden="1">
      <c r="A116" s="179" t="s">
        <v>157</v>
      </c>
      <c r="B116" s="186" t="s">
        <v>158</v>
      </c>
      <c r="C116" s="190"/>
      <c r="D116" s="147"/>
      <c r="E116" s="148"/>
      <c r="F116" s="148"/>
      <c r="G116" s="148"/>
      <c r="H116" s="148"/>
      <c r="I116" s="143">
        <f t="shared" si="0"/>
        <v>0</v>
      </c>
      <c r="J116" s="148"/>
      <c r="K116" s="161"/>
      <c r="L116" s="167">
        <f>[45]VAL.PRINC!I93</f>
        <v>0</v>
      </c>
    </row>
    <row r="117" spans="1:12" ht="15.6" hidden="1">
      <c r="A117" s="176" t="s">
        <v>157</v>
      </c>
      <c r="B117" s="181" t="s">
        <v>177</v>
      </c>
      <c r="C117" s="189" t="s">
        <v>38</v>
      </c>
      <c r="D117" s="147"/>
      <c r="E117" s="148"/>
      <c r="F117" s="148"/>
      <c r="G117" s="148"/>
      <c r="H117" s="148"/>
      <c r="I117" s="143">
        <f t="shared" si="0"/>
        <v>0</v>
      </c>
      <c r="J117" s="148"/>
      <c r="K117" s="161"/>
      <c r="L117" s="167">
        <f>[45]VAL.PRINC!I94</f>
        <v>0</v>
      </c>
    </row>
    <row r="118" spans="1:12" ht="15.6" hidden="1">
      <c r="A118" s="179" t="s">
        <v>159</v>
      </c>
      <c r="B118" s="186" t="s">
        <v>160</v>
      </c>
      <c r="C118" s="190"/>
      <c r="D118" s="147"/>
      <c r="E118" s="148"/>
      <c r="F118" s="148"/>
      <c r="G118" s="148"/>
      <c r="H118" s="148"/>
      <c r="I118" s="143">
        <f t="shared" si="0"/>
        <v>0</v>
      </c>
      <c r="J118" s="148"/>
      <c r="K118" s="161"/>
      <c r="L118" s="167">
        <f>[45]VAL.PRINC!I95</f>
        <v>0</v>
      </c>
    </row>
    <row r="119" spans="1:12" ht="15.6" hidden="1">
      <c r="A119" s="176" t="s">
        <v>159</v>
      </c>
      <c r="B119" s="181" t="s">
        <v>178</v>
      </c>
      <c r="C119" s="190" t="s">
        <v>38</v>
      </c>
      <c r="D119" s="147"/>
      <c r="E119" s="148"/>
      <c r="F119" s="148"/>
      <c r="G119" s="148"/>
      <c r="H119" s="148"/>
      <c r="I119" s="143">
        <f t="shared" si="0"/>
        <v>0</v>
      </c>
      <c r="J119" s="148"/>
      <c r="K119" s="161"/>
      <c r="L119" s="167">
        <f>[45]VAL.PRINC!I96</f>
        <v>0</v>
      </c>
    </row>
    <row r="120" spans="1:12" ht="15.6" hidden="1">
      <c r="A120" s="179" t="s">
        <v>161</v>
      </c>
      <c r="B120" s="186" t="s">
        <v>162</v>
      </c>
      <c r="C120" s="191"/>
      <c r="D120" s="147"/>
      <c r="E120" s="148"/>
      <c r="F120" s="148"/>
      <c r="G120" s="148"/>
      <c r="H120" s="148"/>
      <c r="I120" s="143">
        <f t="shared" si="0"/>
        <v>0</v>
      </c>
      <c r="J120" s="148"/>
      <c r="K120" s="161"/>
      <c r="L120" s="167">
        <f>[45]VAL.PRINC!I97</f>
        <v>0</v>
      </c>
    </row>
    <row r="121" spans="1:12" ht="15.6" hidden="1">
      <c r="A121" s="176" t="s">
        <v>161</v>
      </c>
      <c r="B121" s="181" t="s">
        <v>216</v>
      </c>
      <c r="C121" s="190" t="s">
        <v>37</v>
      </c>
      <c r="D121" s="147"/>
      <c r="E121" s="148"/>
      <c r="F121" s="148"/>
      <c r="G121" s="148"/>
      <c r="H121" s="148"/>
      <c r="I121" s="143">
        <f t="shared" si="0"/>
        <v>0</v>
      </c>
      <c r="J121" s="148"/>
      <c r="K121" s="161"/>
      <c r="L121" s="167">
        <f>[45]VAL.PRINC!I98</f>
        <v>0</v>
      </c>
    </row>
    <row r="122" spans="1:12" ht="15.6" hidden="1">
      <c r="A122" s="179" t="s">
        <v>179</v>
      </c>
      <c r="B122" s="186" t="s">
        <v>180</v>
      </c>
      <c r="C122" s="190"/>
      <c r="D122" s="147"/>
      <c r="E122" s="148"/>
      <c r="F122" s="148"/>
      <c r="G122" s="148"/>
      <c r="H122" s="148"/>
      <c r="I122" s="143">
        <f t="shared" si="0"/>
        <v>0</v>
      </c>
      <c r="J122" s="148"/>
      <c r="K122" s="161"/>
      <c r="L122" s="167">
        <f>[45]VAL.PRINC!I99</f>
        <v>0</v>
      </c>
    </row>
    <row r="123" spans="1:12" ht="15.6" hidden="1">
      <c r="A123" s="176" t="s">
        <v>179</v>
      </c>
      <c r="B123" s="181" t="s">
        <v>217</v>
      </c>
      <c r="C123" s="192" t="s">
        <v>36</v>
      </c>
      <c r="D123" s="147"/>
      <c r="E123" s="148"/>
      <c r="F123" s="148"/>
      <c r="G123" s="148"/>
      <c r="H123" s="148"/>
      <c r="I123" s="143">
        <f t="shared" si="0"/>
        <v>0</v>
      </c>
      <c r="J123" s="148"/>
      <c r="K123" s="161"/>
      <c r="L123" s="167">
        <f>[45]VAL.PRINC!I100</f>
        <v>0</v>
      </c>
    </row>
    <row r="124" spans="1:12" ht="15.6" hidden="1">
      <c r="A124" s="176" t="s">
        <v>179</v>
      </c>
      <c r="B124" s="181" t="s">
        <v>218</v>
      </c>
      <c r="C124" s="190" t="s">
        <v>36</v>
      </c>
      <c r="D124" s="147"/>
      <c r="E124" s="148"/>
      <c r="F124" s="148"/>
      <c r="G124" s="148"/>
      <c r="H124" s="148"/>
      <c r="I124" s="143">
        <f t="shared" si="0"/>
        <v>0</v>
      </c>
      <c r="J124" s="148"/>
      <c r="K124" s="161"/>
      <c r="L124" s="167">
        <f>[45]VAL.PRINC!I101</f>
        <v>0</v>
      </c>
    </row>
    <row r="125" spans="1:12" ht="15.6" hidden="1">
      <c r="A125" s="179" t="s">
        <v>181</v>
      </c>
      <c r="B125" s="186" t="s">
        <v>182</v>
      </c>
      <c r="C125" s="191"/>
      <c r="D125" s="147"/>
      <c r="E125" s="148"/>
      <c r="F125" s="148"/>
      <c r="G125" s="148"/>
      <c r="H125" s="148"/>
      <c r="I125" s="143">
        <f t="shared" si="0"/>
        <v>0</v>
      </c>
      <c r="J125" s="148"/>
      <c r="K125" s="161"/>
      <c r="L125" s="167">
        <f>[45]VAL.PRINC!I102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[45]VAL.PRINC!I103</f>
        <v>0</v>
      </c>
    </row>
    <row r="127" spans="1:12" ht="15.6" hidden="1">
      <c r="A127" s="179" t="s">
        <v>183</v>
      </c>
      <c r="B127" s="186" t="s">
        <v>184</v>
      </c>
      <c r="C127" s="193"/>
      <c r="D127" s="147"/>
      <c r="E127" s="148"/>
      <c r="F127" s="148"/>
      <c r="G127" s="148"/>
      <c r="H127" s="148"/>
      <c r="I127" s="143">
        <f t="shared" si="1"/>
        <v>0</v>
      </c>
      <c r="J127" s="148"/>
      <c r="K127" s="161"/>
      <c r="L127" s="167">
        <f>[45]VAL.PRINC!I104</f>
        <v>0</v>
      </c>
    </row>
    <row r="128" spans="1:12" ht="15.6" hidden="1">
      <c r="A128" s="176" t="s">
        <v>183</v>
      </c>
      <c r="B128" s="181" t="s">
        <v>220</v>
      </c>
      <c r="C128" s="190" t="s">
        <v>36</v>
      </c>
      <c r="D128" s="147"/>
      <c r="E128" s="148"/>
      <c r="F128" s="148"/>
      <c r="G128" s="148"/>
      <c r="H128" s="148"/>
      <c r="I128" s="143">
        <f t="shared" si="1"/>
        <v>0</v>
      </c>
      <c r="J128" s="148"/>
      <c r="K128" s="161"/>
      <c r="L128" s="167">
        <f>[45]VAL.PRINC!I105</f>
        <v>0</v>
      </c>
    </row>
    <row r="129" spans="1:12" ht="15.6" hidden="1">
      <c r="A129" s="179" t="s">
        <v>185</v>
      </c>
      <c r="B129" s="186" t="s">
        <v>186</v>
      </c>
      <c r="C129" s="193"/>
      <c r="D129" s="147"/>
      <c r="E129" s="148"/>
      <c r="F129" s="148"/>
      <c r="G129" s="148"/>
      <c r="H129" s="148"/>
      <c r="I129" s="143">
        <f t="shared" si="1"/>
        <v>0</v>
      </c>
      <c r="J129" s="148"/>
      <c r="K129" s="161"/>
      <c r="L129" s="167">
        <f>[45]VAL.PRINC!I106</f>
        <v>0</v>
      </c>
    </row>
    <row r="130" spans="1:12" ht="15.6" hidden="1">
      <c r="A130" s="176" t="s">
        <v>185</v>
      </c>
      <c r="B130" s="181" t="s">
        <v>221</v>
      </c>
      <c r="C130" s="195" t="s">
        <v>48</v>
      </c>
      <c r="D130" s="147"/>
      <c r="E130" s="148"/>
      <c r="F130" s="148"/>
      <c r="G130" s="148"/>
      <c r="H130" s="148"/>
      <c r="I130" s="143">
        <f t="shared" si="1"/>
        <v>0</v>
      </c>
      <c r="J130" s="148"/>
      <c r="K130" s="161"/>
      <c r="L130" s="167">
        <f>[45]VAL.PRINC!I107</f>
        <v>0</v>
      </c>
    </row>
    <row r="131" spans="1:12" ht="15.6" hidden="1">
      <c r="A131" s="176" t="s">
        <v>185</v>
      </c>
      <c r="B131" s="181" t="s">
        <v>126</v>
      </c>
      <c r="C131" s="188" t="s">
        <v>37</v>
      </c>
      <c r="D131" s="147"/>
      <c r="E131" s="148"/>
      <c r="F131" s="148"/>
      <c r="G131" s="148"/>
      <c r="H131" s="148"/>
      <c r="I131" s="143">
        <f t="shared" si="1"/>
        <v>0</v>
      </c>
      <c r="J131" s="148"/>
      <c r="K131" s="161"/>
      <c r="L131" s="167">
        <f>[45]VAL.PRINC!I108</f>
        <v>0</v>
      </c>
    </row>
    <row r="132" spans="1:12" ht="15.6" hidden="1">
      <c r="A132" s="176" t="s">
        <v>185</v>
      </c>
      <c r="B132" s="181" t="s">
        <v>122</v>
      </c>
      <c r="C132" s="190" t="s">
        <v>40</v>
      </c>
      <c r="D132" s="147"/>
      <c r="E132" s="148"/>
      <c r="F132" s="148"/>
      <c r="G132" s="148"/>
      <c r="H132" s="148"/>
      <c r="I132" s="143">
        <f t="shared" si="1"/>
        <v>0</v>
      </c>
      <c r="J132" s="148"/>
      <c r="K132" s="161"/>
      <c r="L132" s="167">
        <f>[45]VAL.PRINC!I109</f>
        <v>0</v>
      </c>
    </row>
    <row r="133" spans="1:12" ht="15.6" hidden="1">
      <c r="A133" s="176" t="s">
        <v>185</v>
      </c>
      <c r="B133" s="181" t="s">
        <v>222</v>
      </c>
      <c r="C133" s="189" t="s">
        <v>37</v>
      </c>
      <c r="D133" s="147"/>
      <c r="E133" s="148"/>
      <c r="F133" s="148"/>
      <c r="G133" s="148"/>
      <c r="H133" s="148"/>
      <c r="I133" s="143">
        <f t="shared" si="1"/>
        <v>0</v>
      </c>
      <c r="J133" s="148"/>
      <c r="K133" s="161"/>
      <c r="L133" s="167">
        <f>[45]VAL.PRINC!I110</f>
        <v>0</v>
      </c>
    </row>
    <row r="134" spans="1:12" ht="15.6" hidden="1">
      <c r="A134" s="177" t="s">
        <v>187</v>
      </c>
      <c r="B134" s="185" t="s">
        <v>188</v>
      </c>
      <c r="C134" s="190"/>
      <c r="D134" s="147"/>
      <c r="E134" s="148"/>
      <c r="F134" s="148"/>
      <c r="G134" s="148"/>
      <c r="H134" s="148"/>
      <c r="I134" s="143">
        <f t="shared" si="1"/>
        <v>0</v>
      </c>
      <c r="J134" s="148"/>
      <c r="K134" s="161"/>
      <c r="L134" s="167">
        <f>[45]VAL.PRINC!I111</f>
        <v>0</v>
      </c>
    </row>
    <row r="135" spans="1:12" ht="15.6" hidden="1">
      <c r="A135" s="176" t="s">
        <v>187</v>
      </c>
      <c r="B135" s="181" t="s">
        <v>223</v>
      </c>
      <c r="C135" s="190" t="s">
        <v>36</v>
      </c>
      <c r="D135" s="147"/>
      <c r="E135" s="148"/>
      <c r="F135" s="148"/>
      <c r="G135" s="148"/>
      <c r="H135" s="148"/>
      <c r="I135" s="143">
        <f t="shared" si="1"/>
        <v>0</v>
      </c>
      <c r="J135" s="148"/>
      <c r="K135" s="161"/>
      <c r="L135" s="167">
        <f>[45]VAL.PRINC!I112</f>
        <v>0</v>
      </c>
    </row>
    <row r="136" spans="1:12" ht="15.6" hidden="1">
      <c r="A136" s="176" t="s">
        <v>187</v>
      </c>
      <c r="B136" s="181" t="s">
        <v>224</v>
      </c>
      <c r="C136" s="190" t="s">
        <v>36</v>
      </c>
      <c r="D136" s="147"/>
      <c r="E136" s="148"/>
      <c r="F136" s="148"/>
      <c r="G136" s="148"/>
      <c r="H136" s="148"/>
      <c r="I136" s="143">
        <f t="shared" si="1"/>
        <v>0</v>
      </c>
      <c r="J136" s="148"/>
      <c r="K136" s="161"/>
      <c r="L136" s="167">
        <f>[45]VAL.PRINC!I113</f>
        <v>0</v>
      </c>
    </row>
    <row r="137" spans="1:12" ht="15.6" hidden="1">
      <c r="A137" s="176" t="s">
        <v>187</v>
      </c>
      <c r="B137" s="181" t="s">
        <v>225</v>
      </c>
      <c r="C137" s="196" t="s">
        <v>36</v>
      </c>
      <c r="D137" s="147"/>
      <c r="E137" s="148"/>
      <c r="F137" s="148"/>
      <c r="G137" s="148"/>
      <c r="H137" s="148"/>
      <c r="I137" s="143">
        <f t="shared" si="1"/>
        <v>0</v>
      </c>
      <c r="J137" s="148"/>
      <c r="K137" s="161"/>
      <c r="L137" s="167">
        <f>[45]VAL.PRINC!I114</f>
        <v>0</v>
      </c>
    </row>
    <row r="138" spans="1:12" ht="15.6" hidden="1">
      <c r="A138" s="176" t="s">
        <v>187</v>
      </c>
      <c r="B138" s="181" t="s">
        <v>226</v>
      </c>
      <c r="C138" s="190" t="s">
        <v>36</v>
      </c>
      <c r="D138" s="147"/>
      <c r="E138" s="148"/>
      <c r="F138" s="148"/>
      <c r="G138" s="148"/>
      <c r="H138" s="148"/>
      <c r="I138" s="143">
        <f t="shared" si="1"/>
        <v>0</v>
      </c>
      <c r="J138" s="148"/>
      <c r="K138" s="161"/>
      <c r="L138" s="167">
        <f>[45]VAL.PRINC!I115</f>
        <v>0</v>
      </c>
    </row>
    <row r="139" spans="1:12" ht="15.6" hidden="1">
      <c r="A139" s="176" t="s">
        <v>187</v>
      </c>
      <c r="B139" s="181" t="s">
        <v>227</v>
      </c>
      <c r="C139" s="192" t="s">
        <v>36</v>
      </c>
      <c r="D139" s="147"/>
      <c r="E139" s="148"/>
      <c r="F139" s="148"/>
      <c r="G139" s="148"/>
      <c r="H139" s="148"/>
      <c r="I139" s="143">
        <f t="shared" si="1"/>
        <v>0</v>
      </c>
      <c r="J139" s="148"/>
      <c r="K139" s="161"/>
      <c r="L139" s="167">
        <f>[45]VAL.PRINC!I116</f>
        <v>0</v>
      </c>
    </row>
    <row r="140" spans="1:12" ht="15.6" hidden="1">
      <c r="A140" s="176" t="s">
        <v>187</v>
      </c>
      <c r="B140" s="181" t="s">
        <v>228</v>
      </c>
      <c r="C140" s="190" t="s">
        <v>64</v>
      </c>
      <c r="D140" s="147"/>
      <c r="E140" s="148"/>
      <c r="F140" s="148"/>
      <c r="G140" s="148"/>
      <c r="H140" s="148"/>
      <c r="I140" s="143">
        <f t="shared" si="1"/>
        <v>0</v>
      </c>
      <c r="J140" s="148"/>
      <c r="K140" s="161"/>
      <c r="L140" s="167">
        <f>[45]VAL.PRINC!I117</f>
        <v>0</v>
      </c>
    </row>
    <row r="141" spans="1:12" ht="15.6" hidden="1">
      <c r="A141" s="176" t="s">
        <v>187</v>
      </c>
      <c r="B141" s="181" t="s">
        <v>229</v>
      </c>
      <c r="C141" s="189" t="s">
        <v>36</v>
      </c>
      <c r="D141" s="147"/>
      <c r="E141" s="148"/>
      <c r="F141" s="148"/>
      <c r="G141" s="148"/>
      <c r="H141" s="148"/>
      <c r="I141" s="143">
        <f t="shared" si="1"/>
        <v>0</v>
      </c>
      <c r="J141" s="148"/>
      <c r="K141" s="161"/>
      <c r="L141" s="167">
        <f>[45]VAL.PRINC!I118</f>
        <v>0</v>
      </c>
    </row>
    <row r="142" spans="1:12" ht="15.6" hidden="1">
      <c r="A142" s="177" t="s">
        <v>189</v>
      </c>
      <c r="B142" s="185" t="s">
        <v>190</v>
      </c>
      <c r="C142" s="190"/>
      <c r="D142" s="147"/>
      <c r="E142" s="148"/>
      <c r="F142" s="148"/>
      <c r="G142" s="148"/>
      <c r="H142" s="148"/>
      <c r="I142" s="143">
        <f t="shared" si="1"/>
        <v>0</v>
      </c>
      <c r="J142" s="148"/>
      <c r="K142" s="161"/>
      <c r="L142" s="167">
        <f>[45]VAL.PRINC!I119</f>
        <v>0</v>
      </c>
    </row>
    <row r="143" spans="1:12" ht="15.6" hidden="1">
      <c r="A143" s="176" t="s">
        <v>189</v>
      </c>
      <c r="B143" s="181" t="s">
        <v>191</v>
      </c>
      <c r="C143" s="189" t="s">
        <v>36</v>
      </c>
      <c r="D143" s="147"/>
      <c r="E143" s="148"/>
      <c r="F143" s="148"/>
      <c r="G143" s="148"/>
      <c r="H143" s="148"/>
      <c r="I143" s="143">
        <f t="shared" si="1"/>
        <v>0</v>
      </c>
      <c r="J143" s="148"/>
      <c r="K143" s="161"/>
      <c r="L143" s="167">
        <f>[45]VAL.PRINC!I120</f>
        <v>0</v>
      </c>
    </row>
    <row r="144" spans="1:12" ht="15.6" hidden="1">
      <c r="A144" s="176" t="s">
        <v>189</v>
      </c>
      <c r="B144" s="181" t="s">
        <v>192</v>
      </c>
      <c r="C144" s="189" t="s">
        <v>36</v>
      </c>
      <c r="D144" s="147"/>
      <c r="E144" s="148"/>
      <c r="F144" s="148"/>
      <c r="G144" s="148"/>
      <c r="H144" s="148"/>
      <c r="I144" s="143">
        <f t="shared" si="1"/>
        <v>0</v>
      </c>
      <c r="J144" s="148"/>
      <c r="K144" s="161"/>
      <c r="L144" s="167">
        <f>[45]VAL.PRINC!I121</f>
        <v>0</v>
      </c>
    </row>
    <row r="145" spans="1:12" ht="15.6" hidden="1">
      <c r="A145" s="176" t="s">
        <v>189</v>
      </c>
      <c r="B145" s="181" t="s">
        <v>193</v>
      </c>
      <c r="C145" s="189" t="s">
        <v>36</v>
      </c>
      <c r="D145" s="147"/>
      <c r="E145" s="148"/>
      <c r="F145" s="148"/>
      <c r="G145" s="148"/>
      <c r="H145" s="148"/>
      <c r="I145" s="143">
        <f t="shared" si="1"/>
        <v>0</v>
      </c>
      <c r="J145" s="148"/>
      <c r="K145" s="161"/>
      <c r="L145" s="167">
        <f>[45]VAL.PRINC!I122</f>
        <v>0</v>
      </c>
    </row>
    <row r="146" spans="1:12" ht="15.6" hidden="1">
      <c r="A146" s="176" t="s">
        <v>189</v>
      </c>
      <c r="B146" s="181" t="s">
        <v>194</v>
      </c>
      <c r="C146" s="189" t="s">
        <v>36</v>
      </c>
      <c r="D146" s="147"/>
      <c r="E146" s="148"/>
      <c r="F146" s="148"/>
      <c r="G146" s="148"/>
      <c r="H146" s="148"/>
      <c r="I146" s="143">
        <f t="shared" si="1"/>
        <v>0</v>
      </c>
      <c r="J146" s="148"/>
      <c r="K146" s="161"/>
      <c r="L146" s="167">
        <f>[45]VAL.PRINC!I123</f>
        <v>0</v>
      </c>
    </row>
    <row r="147" spans="1:12" ht="15.6">
      <c r="A147" s="177" t="s">
        <v>195</v>
      </c>
      <c r="B147" s="185" t="s">
        <v>196</v>
      </c>
      <c r="C147" s="190"/>
      <c r="D147" s="147"/>
      <c r="E147" s="148"/>
      <c r="F147" s="148"/>
      <c r="G147" s="148"/>
      <c r="H147" s="148"/>
      <c r="I147" s="143">
        <f t="shared" si="1"/>
        <v>0</v>
      </c>
      <c r="J147" s="148"/>
      <c r="K147" s="161"/>
      <c r="L147" s="167">
        <f>[45]VAL.PRINC!I124</f>
        <v>0</v>
      </c>
    </row>
    <row r="148" spans="1:12" ht="15.6">
      <c r="A148" s="176" t="s">
        <v>195</v>
      </c>
      <c r="B148" s="181" t="s">
        <v>197</v>
      </c>
      <c r="C148" s="189" t="s">
        <v>64</v>
      </c>
      <c r="D148" s="147"/>
      <c r="E148" s="148"/>
      <c r="F148" s="148"/>
      <c r="G148" s="148"/>
      <c r="H148" s="148"/>
      <c r="I148" s="143">
        <f t="shared" si="1"/>
        <v>0</v>
      </c>
      <c r="J148" s="148"/>
      <c r="K148" s="161"/>
      <c r="L148" s="167">
        <f>[45]VAL.PRINC!I125</f>
        <v>0</v>
      </c>
    </row>
    <row r="149" spans="1:12" ht="15.6" hidden="1">
      <c r="A149" s="177" t="s">
        <v>198</v>
      </c>
      <c r="B149" s="185" t="s">
        <v>199</v>
      </c>
      <c r="C149" s="190"/>
      <c r="D149" s="147"/>
      <c r="E149" s="148"/>
      <c r="F149" s="148"/>
      <c r="G149" s="148"/>
      <c r="H149" s="148"/>
      <c r="I149" s="143">
        <f t="shared" si="1"/>
        <v>0</v>
      </c>
      <c r="J149" s="148"/>
      <c r="K149" s="161"/>
      <c r="L149" s="167">
        <f>[45]VAL.PRINC!I126</f>
        <v>0</v>
      </c>
    </row>
    <row r="150" spans="1:12" ht="15.6" hidden="1">
      <c r="A150" s="178" t="s">
        <v>200</v>
      </c>
      <c r="B150" s="184" t="s">
        <v>230</v>
      </c>
      <c r="C150" s="190"/>
      <c r="D150" s="147"/>
      <c r="E150" s="148"/>
      <c r="F150" s="148"/>
      <c r="G150" s="148"/>
      <c r="H150" s="148"/>
      <c r="I150" s="143">
        <f t="shared" si="1"/>
        <v>0</v>
      </c>
      <c r="J150" s="148"/>
      <c r="K150" s="161"/>
      <c r="L150" s="167">
        <f>[45]VAL.PRINC!I127</f>
        <v>0</v>
      </c>
    </row>
    <row r="151" spans="1:12" ht="15.6" hidden="1">
      <c r="A151" s="176" t="s">
        <v>200</v>
      </c>
      <c r="B151" s="181" t="s">
        <v>231</v>
      </c>
      <c r="C151" s="189" t="s">
        <v>40</v>
      </c>
      <c r="D151" s="147"/>
      <c r="E151" s="148"/>
      <c r="F151" s="148"/>
      <c r="G151" s="148"/>
      <c r="H151" s="148"/>
      <c r="I151" s="143">
        <f t="shared" si="1"/>
        <v>0</v>
      </c>
      <c r="J151" s="148"/>
      <c r="K151" s="161"/>
      <c r="L151" s="167">
        <f>[45]VAL.PRINC!I128</f>
        <v>0</v>
      </c>
    </row>
    <row r="152" spans="1:12" ht="15.6" hidden="1">
      <c r="A152" s="176" t="s">
        <v>200</v>
      </c>
      <c r="B152" s="181" t="s">
        <v>232</v>
      </c>
      <c r="C152" s="189" t="s">
        <v>40</v>
      </c>
      <c r="D152" s="147"/>
      <c r="E152" s="148"/>
      <c r="F152" s="148"/>
      <c r="G152" s="148"/>
      <c r="H152" s="148"/>
      <c r="I152" s="143">
        <f t="shared" si="1"/>
        <v>0</v>
      </c>
      <c r="J152" s="148"/>
      <c r="K152" s="161"/>
      <c r="L152" s="167">
        <f>[45]VAL.PRINC!I129</f>
        <v>0</v>
      </c>
    </row>
    <row r="153" spans="1:12" ht="15.6" hidden="1">
      <c r="A153" s="176" t="s">
        <v>200</v>
      </c>
      <c r="B153" s="181" t="s">
        <v>233</v>
      </c>
      <c r="C153" s="189" t="s">
        <v>246</v>
      </c>
      <c r="D153" s="147"/>
      <c r="E153" s="148"/>
      <c r="F153" s="148"/>
      <c r="G153" s="148"/>
      <c r="H153" s="148"/>
      <c r="I153" s="143">
        <f>PRODUCT(D153:H153)</f>
        <v>0</v>
      </c>
      <c r="J153" s="148"/>
      <c r="K153" s="161"/>
      <c r="L153" s="167">
        <f>[45]VAL.PRINC!I130</f>
        <v>0</v>
      </c>
    </row>
    <row r="154" spans="1:12" ht="15.6" hidden="1">
      <c r="A154" s="176" t="s">
        <v>200</v>
      </c>
      <c r="B154" s="181" t="s">
        <v>234</v>
      </c>
      <c r="C154" s="189" t="s">
        <v>40</v>
      </c>
      <c r="D154" s="147"/>
      <c r="E154" s="148"/>
      <c r="F154" s="148"/>
      <c r="G154" s="148"/>
      <c r="H154" s="148"/>
      <c r="I154" s="143">
        <f t="shared" si="1"/>
        <v>0</v>
      </c>
      <c r="J154" s="148"/>
      <c r="K154" s="161"/>
      <c r="L154" s="167">
        <f>[45]VAL.PRINC!I131</f>
        <v>0</v>
      </c>
    </row>
    <row r="155" spans="1:12" ht="15.6" hidden="1">
      <c r="A155" s="176" t="s">
        <v>200</v>
      </c>
      <c r="B155" s="181" t="s">
        <v>235</v>
      </c>
      <c r="C155" s="189" t="s">
        <v>37</v>
      </c>
      <c r="D155" s="147"/>
      <c r="E155" s="148"/>
      <c r="F155" s="148"/>
      <c r="G155" s="148"/>
      <c r="H155" s="148"/>
      <c r="I155" s="143">
        <f t="shared" si="1"/>
        <v>0</v>
      </c>
      <c r="J155" s="148"/>
      <c r="K155" s="161"/>
      <c r="L155" s="167">
        <f>[45]VAL.PRINC!I132</f>
        <v>0</v>
      </c>
    </row>
    <row r="156" spans="1:12" ht="15.6" hidden="1">
      <c r="A156" s="176" t="s">
        <v>200</v>
      </c>
      <c r="B156" s="181" t="s">
        <v>236</v>
      </c>
      <c r="C156" s="192" t="s">
        <v>37</v>
      </c>
      <c r="D156" s="147"/>
      <c r="E156" s="148"/>
      <c r="F156" s="148"/>
      <c r="G156" s="148"/>
      <c r="H156" s="148"/>
      <c r="I156" s="143">
        <f t="shared" si="1"/>
        <v>0</v>
      </c>
      <c r="J156" s="148"/>
      <c r="K156" s="161"/>
      <c r="L156" s="167">
        <f>[45]VAL.PRINC!I133</f>
        <v>0</v>
      </c>
    </row>
    <row r="157" spans="1:12" ht="15.6" hidden="1">
      <c r="A157" s="178" t="s">
        <v>201</v>
      </c>
      <c r="B157" s="184" t="s">
        <v>202</v>
      </c>
      <c r="C157" s="190"/>
      <c r="D157" s="147"/>
      <c r="E157" s="148"/>
      <c r="F157" s="148"/>
      <c r="G157" s="148"/>
      <c r="H157" s="148"/>
      <c r="I157" s="143">
        <f t="shared" si="1"/>
        <v>0</v>
      </c>
      <c r="J157" s="148"/>
      <c r="K157" s="161"/>
      <c r="L157" s="167">
        <f>[45]VAL.PRINC!I134</f>
        <v>0</v>
      </c>
    </row>
    <row r="158" spans="1:12" ht="15.6" hidden="1">
      <c r="A158" s="176" t="s">
        <v>201</v>
      </c>
      <c r="B158" s="181" t="s">
        <v>203</v>
      </c>
      <c r="C158" s="189" t="s">
        <v>64</v>
      </c>
      <c r="D158" s="147"/>
      <c r="E158" s="148"/>
      <c r="F158" s="148"/>
      <c r="G158" s="148"/>
      <c r="H158" s="148"/>
      <c r="I158" s="143">
        <f t="shared" si="1"/>
        <v>0</v>
      </c>
      <c r="J158" s="148"/>
      <c r="K158" s="161"/>
      <c r="L158" s="167">
        <f>[45]VAL.PRINC!I135</f>
        <v>0</v>
      </c>
    </row>
    <row r="159" spans="1:12" ht="15.6" hidden="1">
      <c r="A159" s="176" t="s">
        <v>201</v>
      </c>
      <c r="B159" s="181" t="s">
        <v>204</v>
      </c>
      <c r="C159" s="189" t="s">
        <v>64</v>
      </c>
      <c r="D159" s="147"/>
      <c r="E159" s="148"/>
      <c r="F159" s="148"/>
      <c r="G159" s="148"/>
      <c r="H159" s="148"/>
      <c r="I159" s="143">
        <f t="shared" si="1"/>
        <v>0</v>
      </c>
      <c r="J159" s="148"/>
      <c r="K159" s="161"/>
      <c r="L159" s="167">
        <f>[45]VAL.PRINC!I136</f>
        <v>0</v>
      </c>
    </row>
    <row r="160" spans="1:12" ht="15.6" hidden="1">
      <c r="A160" s="176" t="s">
        <v>201</v>
      </c>
      <c r="B160" s="181" t="s">
        <v>205</v>
      </c>
      <c r="C160" s="192" t="s">
        <v>64</v>
      </c>
      <c r="D160" s="147"/>
      <c r="E160" s="148"/>
      <c r="F160" s="148"/>
      <c r="G160" s="148"/>
      <c r="H160" s="148"/>
      <c r="I160" s="143">
        <f t="shared" si="1"/>
        <v>0</v>
      </c>
      <c r="J160" s="148"/>
      <c r="K160" s="161"/>
      <c r="L160" s="167">
        <f>[45]VAL.PRINC!I137</f>
        <v>0</v>
      </c>
    </row>
    <row r="161" spans="1:12" ht="15.6" hidden="1">
      <c r="A161" s="178" t="s">
        <v>206</v>
      </c>
      <c r="B161" s="184" t="s">
        <v>207</v>
      </c>
      <c r="C161" s="189"/>
      <c r="D161" s="147"/>
      <c r="E161" s="148"/>
      <c r="F161" s="148"/>
      <c r="G161" s="148"/>
      <c r="H161" s="148"/>
      <c r="I161" s="143">
        <f t="shared" si="1"/>
        <v>0</v>
      </c>
      <c r="J161" s="148"/>
      <c r="K161" s="161"/>
      <c r="L161" s="167">
        <f>[45]VAL.PRINC!I138</f>
        <v>0</v>
      </c>
    </row>
    <row r="162" spans="1:12" ht="15.6" hidden="1">
      <c r="A162" s="176" t="s">
        <v>206</v>
      </c>
      <c r="B162" s="181" t="s">
        <v>240</v>
      </c>
      <c r="C162" s="189" t="s">
        <v>64</v>
      </c>
      <c r="D162" s="147"/>
      <c r="E162" s="148"/>
      <c r="F162" s="148"/>
      <c r="G162" s="148"/>
      <c r="H162" s="148"/>
      <c r="I162" s="143">
        <f t="shared" si="1"/>
        <v>0</v>
      </c>
      <c r="J162" s="148"/>
      <c r="K162" s="161"/>
      <c r="L162" s="167">
        <f>[45]VAL.PRINC!I139</f>
        <v>0</v>
      </c>
    </row>
    <row r="163" spans="1:12" ht="15.6" hidden="1">
      <c r="A163" s="176" t="s">
        <v>206</v>
      </c>
      <c r="B163" s="181" t="s">
        <v>237</v>
      </c>
      <c r="C163" s="189" t="s">
        <v>64</v>
      </c>
      <c r="D163" s="147"/>
      <c r="E163" s="148"/>
      <c r="F163" s="148"/>
      <c r="G163" s="148"/>
      <c r="H163" s="148"/>
      <c r="I163" s="143">
        <f t="shared" si="1"/>
        <v>0</v>
      </c>
      <c r="J163" s="148"/>
      <c r="K163" s="161"/>
      <c r="L163" s="167">
        <f>[45]VAL.PRINC!I140</f>
        <v>0</v>
      </c>
    </row>
    <row r="164" spans="1:12" ht="15.6" hidden="1">
      <c r="A164" s="176" t="s">
        <v>206</v>
      </c>
      <c r="B164" s="181" t="s">
        <v>238</v>
      </c>
      <c r="C164" s="189" t="s">
        <v>64</v>
      </c>
      <c r="D164" s="147"/>
      <c r="E164" s="148"/>
      <c r="F164" s="148"/>
      <c r="G164" s="148"/>
      <c r="H164" s="148"/>
      <c r="I164" s="143">
        <f t="shared" si="1"/>
        <v>0</v>
      </c>
      <c r="J164" s="148"/>
      <c r="K164" s="161"/>
      <c r="L164" s="167">
        <f>[45]VAL.PRINC!I141</f>
        <v>0</v>
      </c>
    </row>
    <row r="165" spans="1:12" ht="15.6" hidden="1">
      <c r="A165" s="176" t="s">
        <v>206</v>
      </c>
      <c r="B165" s="181" t="s">
        <v>239</v>
      </c>
      <c r="C165" s="189" t="s">
        <v>64</v>
      </c>
      <c r="D165" s="147"/>
      <c r="E165" s="148"/>
      <c r="F165" s="148"/>
      <c r="G165" s="148"/>
      <c r="H165" s="148"/>
      <c r="I165" s="143">
        <f t="shared" si="1"/>
        <v>0</v>
      </c>
      <c r="J165" s="148"/>
      <c r="K165" s="161"/>
      <c r="L165" s="167">
        <f>[45]VAL.PRINC!I142</f>
        <v>0</v>
      </c>
    </row>
    <row r="166" spans="1:12" ht="15.6">
      <c r="A166" s="177" t="s">
        <v>208</v>
      </c>
      <c r="B166" s="185" t="s">
        <v>209</v>
      </c>
      <c r="C166" s="190"/>
      <c r="D166" s="147"/>
      <c r="E166" s="148"/>
      <c r="F166" s="148"/>
      <c r="G166" s="148"/>
      <c r="H166" s="148"/>
      <c r="I166" s="143">
        <f t="shared" si="1"/>
        <v>0</v>
      </c>
      <c r="J166" s="148"/>
      <c r="K166" s="161"/>
      <c r="L166" s="167">
        <f>[45]VAL.PRINC!I143</f>
        <v>0</v>
      </c>
    </row>
    <row r="167" spans="1:12" ht="15.6">
      <c r="A167" s="176" t="s">
        <v>208</v>
      </c>
      <c r="B167" s="181" t="s">
        <v>210</v>
      </c>
      <c r="C167" s="190" t="s">
        <v>64</v>
      </c>
      <c r="D167" s="147"/>
      <c r="E167" s="148"/>
      <c r="F167" s="148"/>
      <c r="G167" s="148"/>
      <c r="H167" s="148"/>
      <c r="I167" s="143">
        <f t="shared" si="1"/>
        <v>0</v>
      </c>
      <c r="J167" s="148"/>
      <c r="K167" s="161"/>
      <c r="L167" s="167">
        <f>[45]VAL.PRINC!I144</f>
        <v>0</v>
      </c>
    </row>
    <row r="168" spans="1:12" ht="15.6">
      <c r="A168" s="176" t="s">
        <v>208</v>
      </c>
      <c r="B168" s="181" t="s">
        <v>211</v>
      </c>
      <c r="C168" s="192" t="s">
        <v>64</v>
      </c>
      <c r="D168" s="147"/>
      <c r="E168" s="148"/>
      <c r="F168" s="148"/>
      <c r="G168" s="148"/>
      <c r="H168" s="148"/>
      <c r="I168" s="143">
        <f t="shared" si="1"/>
        <v>0</v>
      </c>
      <c r="J168" s="148"/>
      <c r="K168" s="161"/>
      <c r="L168" s="167">
        <f>[45]VAL.PRINC!I145</f>
        <v>0</v>
      </c>
    </row>
    <row r="169" spans="1:12" ht="15.6">
      <c r="A169" s="176" t="s">
        <v>208</v>
      </c>
      <c r="B169" s="181" t="s">
        <v>212</v>
      </c>
      <c r="C169" s="190" t="s">
        <v>64</v>
      </c>
      <c r="D169" s="147"/>
      <c r="E169" s="148"/>
      <c r="F169" s="148"/>
      <c r="G169" s="148"/>
      <c r="H169" s="148"/>
      <c r="I169" s="143">
        <f t="shared" si="1"/>
        <v>0</v>
      </c>
      <c r="J169" s="148"/>
      <c r="K169" s="161"/>
      <c r="L169" s="167">
        <f>[45]VAL.PRINC!I146</f>
        <v>0</v>
      </c>
    </row>
    <row r="170" spans="1:12" ht="15.6" hidden="1">
      <c r="A170" s="177" t="s">
        <v>213</v>
      </c>
      <c r="B170" s="185" t="s">
        <v>214</v>
      </c>
      <c r="C170" s="191"/>
      <c r="D170" s="147"/>
      <c r="E170" s="148"/>
      <c r="F170" s="148"/>
      <c r="G170" s="148"/>
      <c r="H170" s="148"/>
      <c r="I170" s="143">
        <f t="shared" si="1"/>
        <v>0</v>
      </c>
      <c r="J170" s="148"/>
      <c r="K170" s="161"/>
      <c r="L170" s="167">
        <f>[45]VAL.PRINC!I147</f>
        <v>0</v>
      </c>
    </row>
    <row r="171" spans="1:12" ht="16.2" hidden="1" thickBot="1">
      <c r="A171" s="180" t="s">
        <v>213</v>
      </c>
      <c r="B171" s="187" t="s">
        <v>215</v>
      </c>
      <c r="C171" s="198" t="s">
        <v>64</v>
      </c>
      <c r="D171" s="149"/>
      <c r="E171" s="150"/>
      <c r="F171" s="150"/>
      <c r="G171" s="150"/>
      <c r="H171" s="150"/>
      <c r="I171" s="143">
        <f t="shared" si="1"/>
        <v>0</v>
      </c>
      <c r="J171" s="150"/>
      <c r="K171" s="162"/>
      <c r="L171" s="167">
        <f>[45]VAL.PRINC!I148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20" t="s">
        <v>472</v>
      </c>
      <c r="C6" s="3120"/>
      <c r="D6" s="3120"/>
      <c r="E6" s="3120"/>
      <c r="F6" s="3120"/>
      <c r="G6" s="3120"/>
      <c r="H6" s="3120"/>
      <c r="I6" s="3120"/>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18" t="s">
        <v>455</v>
      </c>
      <c r="C17" s="3118" t="s">
        <v>454</v>
      </c>
      <c r="D17" s="3118" t="s">
        <v>453</v>
      </c>
      <c r="E17" s="3118" t="s">
        <v>452</v>
      </c>
      <c r="F17" s="3118" t="s">
        <v>451</v>
      </c>
      <c r="G17" s="3121" t="s">
        <v>450</v>
      </c>
      <c r="H17" s="3122"/>
      <c r="I17" s="3122"/>
      <c r="J17" s="542"/>
      <c r="K17" s="542"/>
      <c r="L17" s="3116"/>
      <c r="M17" s="3116"/>
    </row>
    <row r="18" spans="2:14" ht="15.75" customHeight="1" thickBot="1">
      <c r="B18" s="3118"/>
      <c r="C18" s="3118"/>
      <c r="D18" s="3118"/>
      <c r="E18" s="3118"/>
      <c r="F18" s="3118"/>
      <c r="G18" s="3116" t="s">
        <v>1798</v>
      </c>
      <c r="H18" s="3116" t="s">
        <v>449</v>
      </c>
      <c r="I18" s="3116" t="s">
        <v>448</v>
      </c>
      <c r="J18" s="3116" t="s">
        <v>529</v>
      </c>
      <c r="K18" s="3116" t="s">
        <v>531</v>
      </c>
      <c r="L18" s="3117"/>
      <c r="M18" s="3117"/>
    </row>
    <row r="19" spans="2:14">
      <c r="B19" s="3119"/>
      <c r="C19" s="3119"/>
      <c r="D19" s="3119"/>
      <c r="E19" s="3119"/>
      <c r="F19" s="3119"/>
      <c r="G19" s="3117"/>
      <c r="H19" s="3117"/>
      <c r="I19" s="3117"/>
      <c r="J19" s="3117"/>
      <c r="K19" s="3117"/>
      <c r="L19" s="3117"/>
      <c r="M19" s="3117"/>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[46]VAL.PRINC!N15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[46]VAL.PRINC!N16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[46]VAL.PRINC!N19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[46]VAL.PRINC!N21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[46]VAL.PRINC!N22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[46]VAL.PRINC!N23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[46]VAL.PRINC!N24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[46]VAL.PRINC!N25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[46]VAL.PRINC!N27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[46]VAL.PRINC!N28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[46]VAL.PRINC!N31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[46]VAL.PRINC!N32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[46]VAL.PRINC!N33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[46]VAL.PRINC!N34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[46]VAL.PRINC!N35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[46]VAL.PRINC!N36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[46]VAL.PRINC!N37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[46]VAL.PRINC!N38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[46]VAL.PRINC!N40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[46]VAL.PRINC!N41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[46]VAL.PRINC!N42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[46]VAL.PRINC!N43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[46]VAL.PRINC!N44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[46]VAL.PRINC!N45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[46]VAL.PRINC!N46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[46]VAL.PRINC!N47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[46]VAL.PRINC!N49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[46]VAL.PRINC!N50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[46]VAL.PRINC!N51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[46]VAL.PRINC!N112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[46]VAL.PRINC!N113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[46]VAL.PRINC!N114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[46]VAL.PRINC!N115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[46]VAL.PRINC!N116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[46]VAL.PRINC!N117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[46]VAL.PRINC!N118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[46]VAL.PRINC!N120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[46]VAL.PRINC!N121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[46]VAL.PRINC!N122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[46]VAL.PRINC!N123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[46]VAL.PRINC!N125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[46]VAL.PRINC!N128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[46]VAL.PRINC!N129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[46]VAL.PRINC!N130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[46]VAL.PRINC!N131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[46]VAL.PRINC!N132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[46]VAL.PRINC!N133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[46]VAL.PRINC!N135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[46]VAL.PRINC!N136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[46]VAL.PRINC!N137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[46]VAL.PRINC!N139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[46]VAL.PRINC!N140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[46]VAL.PRINC!N141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[46]VAL.PRINC!N142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[46]VAL.PRINC!N144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[46]VAL.PRINC!N145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[46]VAL.PRINC!N146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[46]VAL.PRINC!N148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12">
        <f>F155+F151+F134+F132+F127+F119+F60+F37+F25+F22</f>
        <v>1289323.9083466001</v>
      </c>
      <c r="F157" s="3113"/>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14">
        <f>SUM(G158:I158)</f>
        <v>125597.74707154241</v>
      </c>
      <c r="F158" s="3115"/>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14">
        <f>SUM(G159:I159)</f>
        <v>1336762.1354181424</v>
      </c>
      <c r="F159" s="3115"/>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28">
        <f>SUM(G160:I160)</f>
        <v>0.93937945345306584</v>
      </c>
      <c r="F160" s="3129"/>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130"/>
      <c r="F161" s="3131"/>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14">
        <f t="shared" ref="E162:E168" si="52">SUM(G162:I162)</f>
        <v>58951.209874321183</v>
      </c>
      <c r="F162" s="3123"/>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14">
        <f t="shared" si="52"/>
        <v>3911.4645918579486</v>
      </c>
      <c r="F163" s="3123"/>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32">
        <f t="shared" si="52"/>
        <v>1399624.8098843214</v>
      </c>
      <c r="F164" s="3133"/>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14">
        <f t="shared" si="52"/>
        <v>0</v>
      </c>
      <c r="F165" s="3123"/>
      <c r="G165" s="438"/>
      <c r="H165" s="438"/>
      <c r="I165" s="438"/>
      <c r="J165" s="544"/>
      <c r="K165" s="544"/>
      <c r="L165" s="430">
        <f t="shared" si="53"/>
        <v>0</v>
      </c>
    </row>
    <row r="166" spans="3:13">
      <c r="C166" s="436" t="s">
        <v>361</v>
      </c>
      <c r="D166" s="435">
        <v>1.5387795225407752E-2</v>
      </c>
      <c r="E166" s="3124">
        <f t="shared" si="52"/>
        <v>0</v>
      </c>
      <c r="F166" s="3125"/>
      <c r="G166" s="434"/>
      <c r="H166" s="434"/>
      <c r="I166" s="434"/>
      <c r="J166" s="546"/>
      <c r="K166" s="546"/>
      <c r="L166" s="430">
        <f t="shared" si="53"/>
        <v>0</v>
      </c>
    </row>
    <row r="167" spans="3:13">
      <c r="C167" s="436" t="s">
        <v>255</v>
      </c>
      <c r="D167" s="435">
        <v>5.9362432020489322E-3</v>
      </c>
      <c r="E167" s="3124">
        <f t="shared" si="52"/>
        <v>0</v>
      </c>
      <c r="F167" s="3125"/>
      <c r="G167" s="434"/>
      <c r="H167" s="434"/>
      <c r="I167" s="434"/>
      <c r="J167" s="546"/>
      <c r="K167" s="546"/>
      <c r="L167" s="430">
        <f t="shared" si="53"/>
        <v>0</v>
      </c>
    </row>
    <row r="168" spans="3:13" s="429" customFormat="1">
      <c r="C168" s="433" t="s">
        <v>360</v>
      </c>
      <c r="D168" s="432"/>
      <c r="E168" s="3126">
        <f t="shared" si="52"/>
        <v>1399624.8098843214</v>
      </c>
      <c r="F168" s="3127"/>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[46]VAL.PRINC!O149</f>
        <v>2880901.1635466004</v>
      </c>
      <c r="G170" s="424"/>
      <c r="H170" s="424"/>
      <c r="I170" s="424"/>
      <c r="J170" s="424"/>
      <c r="K170" s="424"/>
    </row>
    <row r="171" spans="3:13">
      <c r="E171" s="423" t="s">
        <v>530</v>
      </c>
      <c r="F171" s="427">
        <f>[46]VAL.PRINC!O52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4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136" t="s">
        <v>259</v>
      </c>
      <c r="B1" s="3136"/>
      <c r="C1" s="3136"/>
      <c r="D1" s="3136"/>
      <c r="E1" s="3136"/>
      <c r="F1" s="3136"/>
      <c r="G1" s="3136"/>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141" t="e">
        <f>#REF!</f>
        <v>#REF!</v>
      </c>
      <c r="D3" s="3141"/>
      <c r="E3" s="3141"/>
      <c r="F3" s="3141"/>
      <c r="G3" s="3141"/>
      <c r="H3" s="3142"/>
      <c r="I3" s="607"/>
      <c r="J3" s="202"/>
      <c r="K3" s="202"/>
      <c r="L3" s="208"/>
    </row>
    <row r="4" spans="1:17">
      <c r="A4" s="207"/>
      <c r="B4" s="244" t="s">
        <v>262</v>
      </c>
      <c r="C4" s="245" t="str">
        <f>[47]VALORIZACION!P5</f>
        <v>PACHACONAS</v>
      </c>
      <c r="D4" s="246"/>
      <c r="E4" s="247" t="s">
        <v>1799</v>
      </c>
      <c r="F4" s="248"/>
      <c r="G4" s="248"/>
      <c r="H4" s="548"/>
      <c r="I4" s="548"/>
      <c r="J4" s="202"/>
      <c r="K4" s="202"/>
      <c r="L4" s="208"/>
    </row>
    <row r="5" spans="1:17" ht="10.8" thickBot="1">
      <c r="A5" s="207"/>
      <c r="B5" s="249" t="s">
        <v>263</v>
      </c>
      <c r="C5" s="250" t="str">
        <f>[47]VALORIZACION!D7</f>
        <v>ADMINISTRACION DIRECTA</v>
      </c>
      <c r="D5" s="251"/>
      <c r="E5" s="252" t="str">
        <f>[47]VALORIZACION!D7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137" t="s">
        <v>260</v>
      </c>
      <c r="C7" s="551"/>
      <c r="D7" s="3139" t="s">
        <v>251</v>
      </c>
      <c r="E7" s="3134" t="s">
        <v>1798</v>
      </c>
      <c r="F7" s="3134" t="s">
        <v>449</v>
      </c>
      <c r="G7" s="3134" t="s">
        <v>448</v>
      </c>
      <c r="H7" s="3134" t="s">
        <v>529</v>
      </c>
      <c r="I7" s="3134" t="s">
        <v>531</v>
      </c>
      <c r="J7" s="552"/>
      <c r="K7" s="553"/>
      <c r="L7" s="554"/>
    </row>
    <row r="8" spans="1:17" s="555" customFormat="1" ht="15.75" customHeight="1" thickBot="1">
      <c r="A8" s="556"/>
      <c r="B8" s="3138"/>
      <c r="C8" s="557"/>
      <c r="D8" s="3140"/>
      <c r="E8" s="3135"/>
      <c r="F8" s="3135"/>
      <c r="G8" s="3135"/>
      <c r="H8" s="3135"/>
      <c r="I8" s="3135"/>
      <c r="J8" s="558"/>
      <c r="K8" s="559"/>
      <c r="L8" s="554"/>
    </row>
    <row r="9" spans="1:17">
      <c r="A9" s="215"/>
      <c r="B9" s="254" t="str">
        <f>[47]VALORIZACION!B14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[47]VALORIZACION!B15</f>
        <v xml:space="preserve">  MOVILIZACIÓN Y DESMOVILIZACIÓN DE MAQUINARIA, EQUIPO Y H.</v>
      </c>
      <c r="C11" s="223"/>
      <c r="D11" s="259">
        <f>[47]VALORIZACION!J15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[47]VALORIZACION!B16</f>
        <v xml:space="preserve"> ACCESO A CANTERAS, DME Y FUENTES DE AGUA</v>
      </c>
      <c r="C13" s="223"/>
      <c r="D13" s="259">
        <f>[47]VALORIZACION!J16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[47]VALORIZACION!B17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[47]VALORIZACION!B18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[47]VALORIZACION!B19</f>
        <v>TOPOGRAFÍA Y GEOREFERENCIACIÓN</v>
      </c>
      <c r="C18" s="223"/>
      <c r="D18" s="259">
        <f>[47]VALORIZACION!L19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[47]VALORIZACION!B20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[47]VALORIZACION!B21</f>
        <v xml:space="preserve"> CORTE DE MATERIAL SUELTO</v>
      </c>
      <c r="C21" s="223"/>
      <c r="D21" s="259">
        <f>[47]VALORIZACION!L21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[47]VALORIZACION!B22</f>
        <v xml:space="preserve"> EXCAVACIÓN EN EXPLANACIONES EN ROCA FIJA</v>
      </c>
      <c r="C23" s="223"/>
      <c r="D23" s="259">
        <f>[47]VALORIZACION!L22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[47]VALORIZACION!B23</f>
        <v>EXCAVACIÓN EN EXPLANACIONES EN ROCA SUELTA</v>
      </c>
      <c r="C25" s="223">
        <f>[47]VALORIZACION!D23</f>
        <v>27759.46</v>
      </c>
      <c r="D25" s="259">
        <f>+[47]RESUMEN!G20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[47]VALORIZACION!B24</f>
        <v>CONFORMACION DE TERRAPLENES</v>
      </c>
      <c r="C27" s="223">
        <f>[47]VALORIZACION!F24</f>
        <v>3112.5636</v>
      </c>
      <c r="D27" s="259">
        <f>+[47]RESUMEN!G22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[47]VALORIZACION!B25</f>
        <v>PERFILADO Y COMPACTADO EN ZONA DE CORTE</v>
      </c>
      <c r="C29" s="223">
        <f>[47]VALORIZACION!F25</f>
        <v>79753.399999999994</v>
      </c>
      <c r="D29" s="259">
        <f>+[47]RESUMEN!G24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[47]VALORIZACION!B26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[47]VALORIZACION!B27</f>
        <v>TRANSPORTE DE ELIMINACIÓN DE MATERIAL A DME D&lt;=1 km</v>
      </c>
      <c r="C33" s="223"/>
      <c r="D33" s="259">
        <f>+[47]RESUMEN!G26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[47]VALORIZACION!B28</f>
        <v xml:space="preserve"> TRANSPORTE DE ELIMINACIÓN DE MATERIAL A DME &gt;1 km</v>
      </c>
      <c r="C35" s="223"/>
      <c r="D35" s="259">
        <f>+[47]RESUMEN!G28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[47]VALORIZACION!B29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[47]VALORIZACION!B30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[47]VALORIZACION!B31</f>
        <v>TRAZO, REPLANTEO Y CONTROL TOPOGRAFICO</v>
      </c>
      <c r="C40" s="223"/>
      <c r="D40" s="259">
        <f>+[47]RESUMEN!G30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[47]VALORIZACION!B32</f>
        <v>EXCAVACIÓN NO CLASIFICADA PARA ESTRUCTURAS</v>
      </c>
      <c r="C42" s="223"/>
      <c r="D42" s="259">
        <f>+[47]RESUMEN!G12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[47]VALORIZACION!B33</f>
        <v>CONCRETO CICLOPEO f'c=175 kg/cm2 + 30% PM</v>
      </c>
      <c r="C44" s="223"/>
      <c r="D44" s="259">
        <f>+[47]RESUMEN!G14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[47]VALORIZACION!B34</f>
        <v>ACERO DE REFUERZO GRADO 60</v>
      </c>
      <c r="C46" s="223"/>
      <c r="D46" s="259">
        <f>+[47]RESUMEN!G16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[47]VALORIZACION!B35</f>
        <v xml:space="preserve"> ENCOFRADO Y DESENCOFRADO PARA OBRAS DE ARTE</v>
      </c>
      <c r="C48" s="223"/>
      <c r="D48" s="259">
        <f>+[47]RESUMEN!G18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[47]VALORIZACION!B36</f>
        <v xml:space="preserve"> CONCRETO f'c=210 kg/cm2</v>
      </c>
      <c r="C50" s="223"/>
      <c r="D50" s="259">
        <f>+[47]RESUMEN!G20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[47]VALORIZACION!B37</f>
        <v>CONCRETO f'c=175 kg/cm2</v>
      </c>
      <c r="C52" s="223"/>
      <c r="D52" s="259">
        <f>+[47]RESUMEN!G22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[47]VALORIZACION!B38</f>
        <v xml:space="preserve"> RELLENO PARA ESTRUCTURAS CON MATERIAL PROPIO</v>
      </c>
      <c r="C54" s="223"/>
      <c r="D54" s="259">
        <f>+[47]RESUMEN!G24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[47]VALORIZACION!B39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[47]VALORIZACION!B40</f>
        <v>TRAZO, REPLANTEO Y CONTROL TOPOGRAFICO</v>
      </c>
      <c r="C58" s="223"/>
      <c r="D58" s="259">
        <f>+[47]RESUMEN!G26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[47]VALORIZACION!B41</f>
        <v xml:space="preserve"> EXCAVACIÓN NO CLASIFICADA PARA ESTRUCTURAS</v>
      </c>
      <c r="C60" s="223"/>
      <c r="D60" s="259">
        <f>+[47]RESUMEN!G28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[47]VALORIZACION!B42</f>
        <v>ENCOFRADO Y DESENCOFRADO PARA OBRAS DE ARTE</v>
      </c>
      <c r="C62" s="223"/>
      <c r="D62" s="259">
        <f>+[47]RESUMEN!G30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[47]VALORIZACION!B43</f>
        <v xml:space="preserve"> CONCRETO CICLOPEO f'c=175 kg/cm2 + 30% PM</v>
      </c>
      <c r="C64" s="223"/>
      <c r="D64" s="259">
        <f>+[47]RESUMEN!G32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[47]VALORIZACION!B44</f>
        <v xml:space="preserve"> TUBERIA DE PVC 2" PARA DRENAJE</v>
      </c>
      <c r="C66" s="223"/>
      <c r="D66" s="259">
        <f>+[47]RESUMEN!G34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[47]VALORIZACION!B45</f>
        <v>TUBERIA DE PVC 4" PARA DRENAJE</v>
      </c>
      <c r="C68" s="223"/>
      <c r="D68" s="259">
        <f>+[47]RESUMEN!G37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[47]VALORIZACION!B46</f>
        <v xml:space="preserve"> JUNTAS DE DILATACIÓN CON TECKNOPORT EN MUROS DE C.</v>
      </c>
      <c r="C70" s="223"/>
      <c r="D70" s="259">
        <f>+[47]RESUMEN!G39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[47]VALORIZACION!B47</f>
        <v xml:space="preserve"> RELLENO PARA ESTRUCTURAS CON MATERIAL PROPIO</v>
      </c>
      <c r="C72" s="223"/>
      <c r="D72" s="259">
        <f>+[47]RESUMEN!G41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[47]VALORIZACION!B48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[47]VALORIZACION!B49</f>
        <v xml:space="preserve"> CONFORMACIÓN Y PERFILADO DE CUNETAS (MATERIAL SUELTO)</v>
      </c>
      <c r="C76" s="223"/>
      <c r="D76" s="259">
        <f>+[47]RESUMEN!G43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[47]VALORIZACION!B50</f>
        <v xml:space="preserve"> CONFORMACIÓN Y PERFILADO DE CUNETAS (ROCA SUELTA)</v>
      </c>
      <c r="C78" s="223"/>
      <c r="D78" s="259">
        <f>+[47]RESUMEN!G45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[47]VALORIZACION!B51</f>
        <v>CONFORMACIÓN Y PERFILADO DE CUNETAS (ROCA FIJA)</v>
      </c>
      <c r="C80" s="223"/>
      <c r="D80" s="259">
        <f>+[47]RESUMEN!G47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[47]VALORIZACION!B52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[47]VALORIZACION!B53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[47]VALORIZACION!B54</f>
        <v xml:space="preserve"> LIMPIEZA MANUAL DE TERRENO</v>
      </c>
      <c r="C86" s="223"/>
      <c r="D86" s="259">
        <f>+[47]RESUMEN!G49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[47]VALORIZACION!B55</f>
        <v>TRAZO, REPLANTEO Y CONTROL TOPOGRAFICO</v>
      </c>
      <c r="C88" s="223"/>
      <c r="D88" s="259">
        <f>+[47]RESUMEN!G51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[47]VALORIZACION!B56</f>
        <v>FLETE TERRESTRE DE MATERIALES A OBRA (PUENTE)</v>
      </c>
      <c r="C90" s="223"/>
      <c r="D90" s="259">
        <f>+[47]RESUMEN!G53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[47]VALORIZACION!B57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[47]VALORIZACION!B58</f>
        <v xml:space="preserve"> EXCAVACIONES.</v>
      </c>
      <c r="C94" s="223"/>
      <c r="D94" s="259">
        <f>+[47]RESUMEN!G55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[47]VALORIZACION!B59</f>
        <v xml:space="preserve"> EXCAVACIÓN EN SECO CON MAQUINARIA</v>
      </c>
      <c r="C96" s="223"/>
      <c r="D96" s="259">
        <f>+[47]RESUMEN!G57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[47]VALORIZACION!B60</f>
        <v>EXCAVACIÓN BAJO AGUA CON MAQUINARIA</v>
      </c>
      <c r="C98" s="223"/>
      <c r="D98" s="259">
        <f>+[47]RESUMEN!G59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[47]VALORIZACION!B61</f>
        <v xml:space="preserve"> EXCAVACIÓN BAJO AGUA MANUAL</v>
      </c>
      <c r="C100" s="223"/>
      <c r="D100" s="259">
        <f>+[47]RESUMEN!G61</f>
        <v>0</v>
      </c>
      <c r="E100" s="223"/>
      <c r="F100" s="223"/>
      <c r="G100" s="224"/>
      <c r="H100" s="224"/>
      <c r="I100" s="224"/>
      <c r="J100" s="205"/>
      <c r="K100" s="225"/>
      <c r="L100" s="222"/>
      <c r="M100" s="226"/>
      <c r="N100" s="226"/>
      <c r="O100" s="226"/>
      <c r="Q100" s="226"/>
    </row>
    <row r="101" spans="1:17" ht="12.75" hidden="1" customHeight="1">
      <c r="A101" s="215"/>
      <c r="B101" s="232" t="str">
        <f>[47]VALORIZACION!B62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[47]VALORIZACION!B63</f>
        <v xml:space="preserve"> RELLENO PARA ESTRUCTURAS CON MATERIAL PROPIO</v>
      </c>
      <c r="C103" s="223"/>
      <c r="D103" s="259">
        <f>+[47]RESUMEN!G61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[47]VALORIZACION!B64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[47]VALORIZACION!B65</f>
        <v>TRANSPORTE DE ELIMINACIÓN DE MATERIAL A DME D&lt;=1 km</v>
      </c>
      <c r="C106" s="223"/>
      <c r="D106" s="259">
        <f>+[47]RESUMEN!G63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[47]VALORIZACION!B66</f>
        <v xml:space="preserve">                ENCOFRADO Y DESENCOFRADO.</v>
      </c>
      <c r="C108" s="223"/>
      <c r="D108" s="259">
        <f>+[47]RESUMEN!G65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[47]VALORIZACION!B67</f>
        <v xml:space="preserve"> ENCOFRADO Y DESENCOFRADO DE SUB ESTRUCTURA.</v>
      </c>
      <c r="C110" s="223"/>
      <c r="D110" s="259">
        <f>+[47]RESUMEN!G67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[47]VALORIZACION!B68</f>
        <v xml:space="preserve"> ENCOFRADO Y DESENCOFRADO NORMAL BAJO AGUA</v>
      </c>
      <c r="C112" s="223"/>
      <c r="D112" s="259">
        <f>+[47]RESUMEN!G69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[47]VALORIZACION!B69</f>
        <v xml:space="preserve"> ENCOFRADO Y DESENCOFRADO NORMAL DE ESTRIBOS</v>
      </c>
      <c r="C114" s="223"/>
      <c r="D114" s="259">
        <f>+[47]RESUMEN!G71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[47]VALORIZACION!B70</f>
        <v xml:space="preserve">  ENCOFRADO Y DESENCOFRADO CARAVISTA EN ESTRIBOS</v>
      </c>
      <c r="C116" s="223"/>
      <c r="D116" s="259">
        <f>+[47]RESUMEN!G73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[47]VALORIZACION!B71</f>
        <v>ENCOFRADO Y DESENCOFRADO DE SUPER ESTRUCTURA.</v>
      </c>
      <c r="C118" s="223"/>
      <c r="D118" s="259">
        <f>+[47]RESUMEN!G75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[47]VALORIZACION!B72</f>
        <v xml:space="preserve"> ENCOFRADO Y DESENCOFRADO CARAVISTA DE TABLERO</v>
      </c>
      <c r="C120" s="223"/>
      <c r="D120" s="259">
        <f>+[47]RESUMEN!G77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[47]VALORIZACION!B73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[47]VALORIZACION!B74</f>
        <v>CONCRETO CICLOPEO f'c=140 kg/cm2 + 30% PM</v>
      </c>
      <c r="C124" s="223"/>
      <c r="D124" s="259">
        <f>+[47]RESUMEN!G79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[47]VALORIZACION!B75</f>
        <v xml:space="preserve"> CONCRETO CICLOPEO f'c=175 kg/cm2 + 30% PG</v>
      </c>
      <c r="C126" s="223"/>
      <c r="D126" s="259">
        <f>+[47]RESUMEN!G81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[47]VALORIZACION!B76</f>
        <v xml:space="preserve">                    CONCRETO f'c=210 kg/cm2</v>
      </c>
      <c r="C128" s="223"/>
      <c r="D128" s="259">
        <f>+[47]RESUMEN!G83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[47]VALORIZACION!B77</f>
        <v xml:space="preserve">                    CONCRETO f'c=280 kg/cm2</v>
      </c>
      <c r="C130" s="223"/>
      <c r="D130" s="259">
        <f>+[47]RESUMEN!G85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[47]VALORIZACION!B78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[47]VALORIZACION!B79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[47]VALORIZACION!B80</f>
        <v xml:space="preserve">                        CONCRETO f'c=210 kg/cm2</v>
      </c>
      <c r="C135" s="223"/>
      <c r="D135" s="259">
        <f>+[47]RESUMEN!G87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[47]VALORIZACION!B81</f>
        <v xml:space="preserve">                        CONCRETO f'c=280 kg/cm2</v>
      </c>
      <c r="C137" s="223"/>
      <c r="D137" s="259">
        <f>+[47]RESUMEN!G89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[47]VALORIZACION!B82</f>
        <v xml:space="preserve">                        CURADO DE CONCRETO</v>
      </c>
      <c r="C139" s="223"/>
      <c r="D139" s="259">
        <f>+[47]RESUMEN!G91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[47]VALORIZACION!B83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[47]VALORIZACION!B84</f>
        <v xml:space="preserve"> ACERO DE REFUERZO GRADO 60 EN CIMENTACIÓN</v>
      </c>
      <c r="C142" s="223"/>
      <c r="D142" s="259">
        <f>+[47]RESUMEN!G94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[47]VALORIZACION!B85</f>
        <v xml:space="preserve"> ACERO DE REFUERZO GRADO 60 EN ESTRIBOS</v>
      </c>
      <c r="C144" s="223"/>
      <c r="D144" s="259">
        <f>+[47]RESUMEN!G96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[47]VALORIZACION!B86</f>
        <v>ACERO DE REFUERZO GRADO 60 EN LOSA DE TABLERO</v>
      </c>
      <c r="C146" s="223"/>
      <c r="D146" s="259">
        <f>+[47]RESUMEN!G98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[47]VALORIZACION!B87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[47]VALORIZACION!B88</f>
        <v xml:space="preserve"> FABRICACIÓN DE ESTRUCTURA METÁLICA (ACERO A-709)</v>
      </c>
      <c r="C149" s="223"/>
      <c r="D149" s="259">
        <f>+[47]RESUMEN!G100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[47]VALORIZACION!B89</f>
        <v>PINTURA DE ESTRUCTURAS METÁLICAS</v>
      </c>
      <c r="C151" s="223"/>
      <c r="D151" s="259">
        <f>+[47]RESUMEN!G102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[47]VALORIZACION!B90</f>
        <v xml:space="preserve"> TRANSPORTE DE ESTRUCTURA METÁLICA A OBRA</v>
      </c>
      <c r="C153" s="223"/>
      <c r="D153" s="259">
        <f>+[47]RESUMEN!G104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[47]VALORIZACION!B91</f>
        <v xml:space="preserve"> MONTAJE Y LANZAMIENTO DE ESTRUCTURA METÁLICA</v>
      </c>
      <c r="C155" s="223"/>
      <c r="D155" s="259">
        <f>+[47]RESUMEN!G106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[47]VALORIZACION!B92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[47]VALORIZACION!B93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[47]VALORIZACION!B94</f>
        <v xml:space="preserve"> TUBERIA DE PVC 3" PARA DRENAJE</v>
      </c>
      <c r="C159" s="223"/>
      <c r="D159" s="259">
        <f>+[47]RESUMEN!G108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[47]VALORIZACION!B95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[47]VALORIZACION!B96</f>
        <v>BARANDA METÁLICA, INC. PINTURA (SEGUN DISEÑO)</v>
      </c>
      <c r="C162" s="223"/>
      <c r="D162" s="259">
        <f>+[47]RESUMEN!G110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[47]VALORIZACION!B97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[47]VALORIZACION!B98</f>
        <v xml:space="preserve"> PINTURA EN SARDINELES</v>
      </c>
      <c r="C165" s="223"/>
      <c r="D165" s="259">
        <f>+[47]RESUMEN!G112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[47]VALORIZACION!B99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[47]VALORIZACION!B100</f>
        <v xml:space="preserve"> APOYO DE NEOPRENO FIJO</v>
      </c>
      <c r="C168" s="223"/>
      <c r="D168" s="259">
        <f>+[47]RESUMEN!G114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[47]VALORIZACION!B101</f>
        <v xml:space="preserve"> APOYO DE NEOPRENO MOVIL</v>
      </c>
      <c r="C170" s="223"/>
      <c r="D170" s="259">
        <f>+[47]RESUMEN!G116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[47]VALORIZACION!B102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[47]VALORIZACION!B103</f>
        <v>FABRICACIÓN DE ESTRUCTURA METÁLICA (UÑA)</v>
      </c>
      <c r="C173" s="223"/>
      <c r="D173" s="259">
        <f>+[47]RESUMEN!G118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[47]VALORIZACION!B104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[47]VALORIZACION!B105</f>
        <v xml:space="preserve"> DOWELLS DE ANCLAJE D=1"</v>
      </c>
      <c r="C176" s="223"/>
      <c r="D176" s="259">
        <f>+[47]RESUMEN!G120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[47]VALORIZACION!B106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[47]VALORIZACION!B107</f>
        <v xml:space="preserve"> ACERO DE REFUERZO GRADO 60</v>
      </c>
      <c r="C179" s="223"/>
      <c r="D179" s="259">
        <f>+[47]RESUMEN!G122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[47]VALORIZACION!B108</f>
        <v>ENCOFRADO Y DESENCOFRADO PARA OBRAS DE ARTE</v>
      </c>
      <c r="C181" s="223"/>
      <c r="D181" s="259">
        <f>+[47]RESUMEN!G124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[47]VALORIZACION!B109</f>
        <v xml:space="preserve"> CONCRETO f'c=210 kg/cm2</v>
      </c>
      <c r="C183" s="223"/>
      <c r="D183" s="259">
        <f>+[47]RESUMEN!G126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[47]VALORIZACION!B110</f>
        <v>CURADO DE CONCRETO</v>
      </c>
      <c r="C185" s="223"/>
      <c r="D185" s="259">
        <f>+[47]RESUMEN!G128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[47]VALORIZACION!B111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[47]VALORIZACION!B112</f>
        <v>DISEÑO DE MEZCLA (CONCRETO)</v>
      </c>
      <c r="C188" s="223"/>
      <c r="D188" s="259">
        <f>+[47]RESUMEN!G130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[47]VALORIZACION!B113</f>
        <v xml:space="preserve"> TESTIGOS DE CONCRETO (BRIQUETAS) Y SLUMP TEST</v>
      </c>
      <c r="C190" s="223"/>
      <c r="D190" s="259">
        <f>+[47]RESUMEN!G132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[47]VALORIZACION!B114</f>
        <v>PRUEBA DE CALIDAD DEL CONCRETO (PRUEBA A LA COMPRESION)</v>
      </c>
      <c r="C192" s="223"/>
      <c r="D192" s="259">
        <f>+[47]RESUMEN!G134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[47]VALORIZACION!B115</f>
        <v xml:space="preserve"> PROCTOR DE CAMPO (COMPACTACIÓN)</v>
      </c>
      <c r="C194" s="223"/>
      <c r="D194" s="259">
        <f>+[47]RESUMEN!G36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[47]VALORIZACION!B116</f>
        <v>DENSIDAD DE CAMPO</v>
      </c>
      <c r="C196" s="223"/>
      <c r="D196" s="259">
        <f>+[47]RESUMEN!G38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[47]VALORIZACION!B117</f>
        <v xml:space="preserve"> PRUEBA DE CARGA DE SUPERESTRUCTURA (PUENTE)</v>
      </c>
      <c r="C198" s="223"/>
      <c r="D198" s="259">
        <f>+[47]RESUMEN!G40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[47]VALORIZACION!B118</f>
        <v>PLACA RECORDATORIA DE BRONCE</v>
      </c>
      <c r="C200" s="223"/>
      <c r="D200" s="259">
        <f>+[47]RESUMEN!G42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[47]VALORIZACION!B119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[47]VALORIZACION!B120</f>
        <v xml:space="preserve">                SEÑAL PREVENTIVA (0.60x0.60 m)</v>
      </c>
      <c r="C204" s="223"/>
      <c r="D204" s="259">
        <f>+[47]RESUMEN!G44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[47]VALORIZACION!B121</f>
        <v xml:space="preserve">                SEÑALES INFORMATIVAS</v>
      </c>
      <c r="C206" s="223"/>
      <c r="D206" s="259">
        <f>+[47]RESUMEN!G46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[47]VALORIZACION!B122</f>
        <v xml:space="preserve">                POSTES DE SOPORTE DE SEÑALES</v>
      </c>
      <c r="C208" s="223"/>
      <c r="D208" s="259">
        <f>+[47]RESUMEN!G48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[47]VALORIZACION!B123</f>
        <v xml:space="preserve">                POSTES DE KILOMETRAJE</v>
      </c>
      <c r="C210" s="223"/>
      <c r="D210" s="259">
        <f>+[47]RESUMEN!G50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[47]VALORIZACION!B124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[47]VALORIZACION!B125</f>
        <v xml:space="preserve">                FLETE TERRESTRE</v>
      </c>
      <c r="C214" s="223"/>
      <c r="D214" s="259">
        <f>+[47]RESUMEN!G52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[47]VALORIZACION!B126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[47]VALORIZACION!B127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[47]VALORIZACION!B128</f>
        <v xml:space="preserve"> RETIRO Y ALMACENAMIENTO DE TOP SOIL</v>
      </c>
      <c r="C219" s="223"/>
      <c r="D219" s="259">
        <f>+[47]RESUMEN!G54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[47]VALORIZACION!B129</f>
        <v xml:space="preserve"> REPOSICIÓN DE TOP SOIL</v>
      </c>
      <c r="C221" s="223"/>
      <c r="D221" s="259">
        <f>+[47]RESUMEN!G56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[47]VALORIZACION!B130</f>
        <v>REVEGETACIÓN</v>
      </c>
      <c r="C223" s="223"/>
      <c r="D223" s="259">
        <f>+[47]RESUMEN!G58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[47]VALORIZACION!B131</f>
        <v>READECUACIÓN DE DÉPOSITO DE MATERIALES EXCEDENTES</v>
      </c>
      <c r="C225" s="223"/>
      <c r="D225" s="259">
        <f>+[47]RESUMEN!G60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[47]VALORIZACION!B132</f>
        <v>READECUACIÓN AMBIENTAL DE CAMPAMENTOS</v>
      </c>
      <c r="C227" s="223"/>
      <c r="D227" s="259">
        <f>+[47]RESUMEN!G62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[47]VALORIZACION!B133</f>
        <v>READECUACIÓN AMBIENTAL DE ALMACENES Y PATIO DE MÁQUINAS</v>
      </c>
      <c r="C229" s="223"/>
      <c r="D229" s="259">
        <f>+[47]RESUMEN!G64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[47]VALORIZACION!B134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[47]VALORIZACION!B139</f>
        <v xml:space="preserve"> PROGRAMA DE MEDIDAS PREVENTIVAS, MITIGADORAS Y COR.</v>
      </c>
      <c r="C232" s="223"/>
      <c r="D232" s="259">
        <f>+[47]RESUMEN!G66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[47]VALORIZACION!B140</f>
        <v xml:space="preserve"> PROGRAMA DE CAPACITACIÓN AMBIENTAL Y SEGURIDAD</v>
      </c>
      <c r="C234" s="223"/>
      <c r="D234" s="259">
        <f>+[47]RESUMEN!G68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[47]VALORIZACION!B141</f>
        <v>PROGRAMA DE EDUCACIÓN AMBIENTAL Y SEGURIDAD VIAL</v>
      </c>
      <c r="C236" s="223"/>
      <c r="D236" s="259">
        <f>+[47]RESUMEN!G70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[47]VALORIZACION!B142</f>
        <v>PROGRAMA DE PREVENCIÓN Y CONTINGENCIAS</v>
      </c>
      <c r="C238" s="223"/>
      <c r="D238" s="259">
        <f>+[47]RESUMEN!G72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[47]VALORIZACION!B143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[47]VALORIZACION!B144</f>
        <v xml:space="preserve">                EQUIPOS DE PROTECCIÓN INDIVIDUAL</v>
      </c>
      <c r="C241" s="223"/>
      <c r="D241" s="259">
        <f>+[47]RESUMEN!G74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[47]VALORIZACION!B145</f>
        <v xml:space="preserve">                EQUIPOS DE PROTECCIÓN COLECTIVA</v>
      </c>
      <c r="C243" s="223"/>
      <c r="D243" s="259">
        <f>+[47]RESUMEN!G76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[47]VALORIZACION!B146</f>
        <v xml:space="preserve">                SEÑALIZACIÓN TEMPORAL DE SEGURIDAD Y AMBIENTAL</v>
      </c>
      <c r="C245" s="223"/>
      <c r="D245" s="259">
        <f>+[47]RESUMEN!G78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[47]VALORIZACION!B147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[47]VALORIZACION!B148</f>
        <v xml:space="preserve">                PLAN DE MONITOREO ARQUEÓLOGICO</v>
      </c>
      <c r="C248" s="264"/>
      <c r="D248" s="510">
        <f>+[47]RESUMEN!G80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39</vt:i4>
      </vt:variant>
    </vt:vector>
  </HeadingPairs>
  <TitlesOfParts>
    <vt:vector size="77" baseType="lpstr">
      <vt:lpstr>Hoja2</vt:lpstr>
      <vt:lpstr>CRONGRAMA JULIO</vt:lpstr>
      <vt:lpstr>FICHA 1</vt:lpstr>
      <vt:lpstr>DATOS GENERALES</vt:lpstr>
      <vt:lpstr>Hoja5</vt:lpstr>
      <vt:lpstr>Hoja6</vt:lpstr>
      <vt:lpstr>Hoja7</vt:lpstr>
      <vt:lpstr>METRADOS PN</vt:lpstr>
      <vt:lpstr>FICHA 2 MAR</vt:lpstr>
      <vt:lpstr>PARTIDAS EJEC. OCTUBRE</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OCTUBRE'!Área_de_impresión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OCTUBRE'!Títulos_a_imprimir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2021-12-03T23:00:25Z</cp:lastPrinted>
  <dcterms:created xsi:type="dcterms:W3CDTF">2012-11-12T19:56:17Z</dcterms:created>
  <dcterms:modified xsi:type="dcterms:W3CDTF">2021-12-29T22:34:47Z</dcterms:modified>
</cp:coreProperties>
</file>