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User\Desktop\Oktyabr\oktabr\Discover Invest, новые проекты\"/>
    </mc:Choice>
  </mc:AlternateContent>
  <bookViews>
    <workbookView xWindow="0" yWindow="0" windowWidth="23040" windowHeight="9192" tabRatio="784"/>
  </bookViews>
  <sheets>
    <sheet name="сводка" sheetId="2" r:id="rId1"/>
    <sheet name="янв" sheetId="18" r:id="rId2"/>
    <sheet name="фев" sheetId="4" r:id="rId3"/>
    <sheet name="мар" sheetId="5" r:id="rId4"/>
    <sheet name="апр" sheetId="6" r:id="rId5"/>
    <sheet name="май" sheetId="7" r:id="rId6"/>
    <sheet name="июн" sheetId="8" r:id="rId7"/>
    <sheet name="июл" sheetId="9" r:id="rId8"/>
    <sheet name="авг" sheetId="10" r:id="rId9"/>
    <sheet name="сен" sheetId="17" r:id="rId10"/>
    <sheet name="окт" sheetId="12" r:id="rId11"/>
    <sheet name="ноя" sheetId="13" r:id="rId12"/>
    <sheet name="дек" sheetId="1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8" hidden="1">авг!$B$1:$M$192</definedName>
    <definedName name="_xlnm._FilterDatabase" localSheetId="4" hidden="1">апр!$B$4:$M$4</definedName>
    <definedName name="_xlnm._FilterDatabase" localSheetId="12" hidden="1">дек!$B$1:$L$1</definedName>
    <definedName name="_xlnm._FilterDatabase" localSheetId="7" hidden="1">июл!$B$1:$M$45</definedName>
    <definedName name="_xlnm._FilterDatabase" localSheetId="6" hidden="1">июн!$B$2:$M$18</definedName>
    <definedName name="_xlnm._FilterDatabase" localSheetId="5" hidden="1">май!$B$1:$M$33</definedName>
    <definedName name="_xlnm._FilterDatabase" localSheetId="3" hidden="1">мар!$B$4:$M$74</definedName>
    <definedName name="_xlnm._FilterDatabase" localSheetId="11" hidden="1">ноя!$B$1:$L$1</definedName>
    <definedName name="_xlnm._FilterDatabase" localSheetId="10" hidden="1">окт!$B$1:$M$268</definedName>
    <definedName name="_xlnm._FilterDatabase" localSheetId="0" hidden="1">сводка!$A$228:$I$228</definedName>
    <definedName name="_xlnm._FilterDatabase" localSheetId="9" hidden="1">сен!$B$1:$M$174</definedName>
    <definedName name="_xlnm._FilterDatabase" localSheetId="2" hidden="1">фев!$B$3:$M$232</definedName>
    <definedName name="_xlnm._FilterDatabase" localSheetId="1" hidden="1">янв!$B$4:$M$322</definedName>
    <definedName name="_xlnm.Print_Titles" localSheetId="8">авг!$2:$2</definedName>
    <definedName name="_xlnm.Print_Titles" localSheetId="4">апр!#REF!</definedName>
    <definedName name="_xlnm.Print_Titles" localSheetId="12">дек!$2:$2</definedName>
    <definedName name="_xlnm.Print_Titles" localSheetId="7">июл!#REF!</definedName>
    <definedName name="_xlnm.Print_Titles" localSheetId="6">июн!#REF!</definedName>
    <definedName name="_xlnm.Print_Titles" localSheetId="5">май!#REF!</definedName>
    <definedName name="_xlnm.Print_Titles" localSheetId="3">мар!#REF!</definedName>
    <definedName name="_xlnm.Print_Titles" localSheetId="11">ноя!$2:$2</definedName>
    <definedName name="_xlnm.Print_Titles" localSheetId="10">окт!$2:$2</definedName>
    <definedName name="_xlnm.Print_Titles" localSheetId="0">сводка!$6:$6</definedName>
    <definedName name="_xlnm.Print_Titles" localSheetId="2">фев!#REF!</definedName>
    <definedName name="_xlnm.Print_Titles" localSheetId="1">янв!#REF!</definedName>
    <definedName name="ЗаголовокСтолбца10">#REF!</definedName>
    <definedName name="ЗаголовокСтолбца11">#REF!</definedName>
    <definedName name="ЗаголовокСтолбца12">#REF!</definedName>
    <definedName name="ЗаголовокСтолбца13">#REF!</definedName>
    <definedName name="ЗаголовокСтолбца14">#REF!</definedName>
    <definedName name="ЗаголовокСтолбца2">СводкаРасходов[[#Headers],[Фирмы]]</definedName>
    <definedName name="ЗаголовокСтолбца3">#REF!</definedName>
    <definedName name="ЗаголовокСтолбца4">#REF!</definedName>
    <definedName name="ЗаголовокСтолбца5">#REF!</definedName>
    <definedName name="ЗаголовокСтолбца6">#REF!</definedName>
    <definedName name="ЗаголовокСтолбца7">#REF!</definedName>
    <definedName name="ЗаголовокСтолбца8">#REF!</definedName>
    <definedName name="ЗаголовокСтолбца9">#REF!</definedName>
    <definedName name="КатегорииРасходов">СводкаРасходов[Фирмы]</definedName>
  </definedNames>
  <calcPr calcId="162913"/>
</workbook>
</file>

<file path=xl/calcChain.xml><?xml version="1.0" encoding="utf-8"?>
<calcChain xmlns="http://schemas.openxmlformats.org/spreadsheetml/2006/main">
  <c r="K200" i="2" l="1"/>
  <c r="K201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L268" i="12"/>
  <c r="J173" i="2" l="1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6" i="2"/>
  <c r="J127" i="2"/>
  <c r="J128" i="2"/>
  <c r="J129" i="2"/>
  <c r="J130" i="2"/>
  <c r="L94" i="17"/>
  <c r="L90" i="17"/>
  <c r="L89" i="17"/>
  <c r="L88" i="17"/>
  <c r="L87" i="17"/>
  <c r="L86" i="17"/>
  <c r="L85" i="17"/>
  <c r="L84" i="17"/>
  <c r="L83" i="17"/>
  <c r="L73" i="17"/>
  <c r="L72" i="17"/>
  <c r="L71" i="17"/>
  <c r="L70" i="17"/>
  <c r="L69" i="17"/>
  <c r="L66" i="17"/>
  <c r="L29" i="17"/>
  <c r="L28" i="17"/>
  <c r="L173" i="17"/>
  <c r="J57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5" i="2"/>
  <c r="J26" i="2"/>
  <c r="J27" i="2"/>
  <c r="J28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8" i="2"/>
  <c r="J60" i="2"/>
  <c r="J61" i="2"/>
  <c r="J62" i="2"/>
  <c r="J63" i="2"/>
  <c r="J51" i="2" l="1"/>
  <c r="J125" i="2"/>
  <c r="J201" i="2"/>
  <c r="J59" i="2"/>
  <c r="J29" i="2"/>
  <c r="J200" i="2"/>
  <c r="L174" i="17"/>
  <c r="J24" i="2"/>
  <c r="J64" i="2" l="1"/>
  <c r="I200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L192" i="10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H69" i="2" l="1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L45" i="9"/>
  <c r="H201" i="2" s="1"/>
  <c r="G200" i="2" l="1"/>
  <c r="G201" i="2"/>
  <c r="G125" i="2"/>
  <c r="L18" i="8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F200" i="2" l="1"/>
  <c r="F201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L33" i="7"/>
  <c r="I232" i="2" l="1"/>
  <c r="I233" i="2"/>
  <c r="I236" i="2"/>
  <c r="I237" i="2"/>
  <c r="I240" i="2"/>
  <c r="I241" i="2"/>
  <c r="I244" i="2"/>
  <c r="I245" i="2"/>
  <c r="H246" i="2"/>
  <c r="I230" i="2"/>
  <c r="I231" i="2"/>
  <c r="I234" i="2"/>
  <c r="I235" i="2"/>
  <c r="I238" i="2"/>
  <c r="I239" i="2"/>
  <c r="I242" i="2"/>
  <c r="I243" i="2"/>
  <c r="I229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L25" i="6"/>
  <c r="E201" i="2" s="1"/>
  <c r="D200" i="2" l="1"/>
  <c r="D201" i="2"/>
  <c r="L75" i="5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B246" i="2" l="1"/>
  <c r="C195" i="2"/>
  <c r="C246" i="2" l="1"/>
  <c r="C200" i="2"/>
  <c r="C201" i="2"/>
  <c r="C134" i="2"/>
  <c r="C135" i="2"/>
  <c r="C136" i="2"/>
  <c r="C137" i="2"/>
  <c r="C138" i="2"/>
  <c r="C140" i="2"/>
  <c r="C141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8" i="2"/>
  <c r="C169" i="2"/>
  <c r="C170" i="2"/>
  <c r="C171" i="2"/>
  <c r="C172" i="2"/>
  <c r="C174" i="2"/>
  <c r="C175" i="2"/>
  <c r="C176" i="2"/>
  <c r="C177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4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30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L232" i="4"/>
  <c r="D246" i="2" l="1"/>
  <c r="C64" i="2"/>
  <c r="B61" i="2"/>
  <c r="N61" i="2" s="1"/>
  <c r="B62" i="2"/>
  <c r="N62" i="2" s="1"/>
  <c r="B200" i="2" l="1"/>
  <c r="B201" i="2"/>
  <c r="B188" i="2"/>
  <c r="N188" i="2" s="1"/>
  <c r="B175" i="2"/>
  <c r="N175" i="2" s="1"/>
  <c r="B153" i="2"/>
  <c r="N153" i="2" s="1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9" i="2"/>
  <c r="B190" i="2"/>
  <c r="B191" i="2"/>
  <c r="B192" i="2"/>
  <c r="B193" i="2"/>
  <c r="B194" i="2"/>
  <c r="B195" i="2"/>
  <c r="B196" i="2"/>
  <c r="B122" i="2"/>
  <c r="N122" i="2" s="1"/>
  <c r="B90" i="2"/>
  <c r="N90" i="2" s="1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3" i="2"/>
  <c r="B124" i="2"/>
  <c r="B125" i="2"/>
  <c r="B126" i="2"/>
  <c r="B127" i="2"/>
  <c r="B128" i="2"/>
  <c r="B129" i="2"/>
  <c r="B13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3" i="2"/>
  <c r="L323" i="18"/>
  <c r="B131" i="2" l="1"/>
  <c r="N15" i="2" l="1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16" i="2"/>
  <c r="N17" i="2"/>
  <c r="N25" i="2"/>
  <c r="N32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33" i="2"/>
  <c r="N34" i="2"/>
  <c r="N49" i="2"/>
  <c r="N50" i="2"/>
  <c r="N51" i="2"/>
  <c r="N52" i="2"/>
  <c r="N53" i="2"/>
  <c r="N54" i="2"/>
  <c r="N55" i="2"/>
  <c r="N56" i="2"/>
  <c r="N57" i="2"/>
  <c r="N58" i="2"/>
  <c r="N59" i="2"/>
  <c r="N60" i="2"/>
  <c r="N63" i="2"/>
  <c r="M197" i="2" l="1"/>
  <c r="L197" i="2"/>
  <c r="K197" i="2"/>
  <c r="J197" i="2"/>
  <c r="I197" i="2"/>
  <c r="H197" i="2"/>
  <c r="F197" i="2"/>
  <c r="E197" i="2"/>
  <c r="D197" i="2"/>
  <c r="C197" i="2"/>
  <c r="B197" i="2"/>
  <c r="N196" i="2"/>
  <c r="N195" i="2"/>
  <c r="N194" i="2"/>
  <c r="N193" i="2"/>
  <c r="N192" i="2"/>
  <c r="N191" i="2"/>
  <c r="N190" i="2"/>
  <c r="N189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4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0" i="2" l="1"/>
  <c r="N129" i="2"/>
  <c r="N128" i="2"/>
  <c r="N127" i="2"/>
  <c r="N126" i="2"/>
  <c r="N125" i="2"/>
  <c r="N124" i="2"/>
  <c r="N123" i="2"/>
  <c r="N121" i="2"/>
  <c r="N120" i="2"/>
  <c r="N119" i="2"/>
  <c r="N118" i="2"/>
  <c r="N117" i="2"/>
  <c r="N116" i="2"/>
  <c r="N115" i="2"/>
  <c r="N114" i="2"/>
  <c r="N113" i="2"/>
  <c r="H131" i="2"/>
  <c r="D131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M131" i="2"/>
  <c r="K131" i="2"/>
  <c r="J131" i="2"/>
  <c r="I131" i="2"/>
  <c r="G131" i="2"/>
  <c r="F131" i="2"/>
  <c r="E131" i="2"/>
  <c r="C131" i="2"/>
  <c r="N69" i="2"/>
  <c r="L131" i="2" l="1"/>
  <c r="N131" i="2"/>
  <c r="P122" i="2" s="1"/>
  <c r="P113" i="2" l="1"/>
  <c r="P90" i="2"/>
  <c r="P117" i="2"/>
  <c r="P103" i="2"/>
  <c r="P111" i="2"/>
  <c r="P81" i="2"/>
  <c r="P72" i="2"/>
  <c r="P94" i="2"/>
  <c r="P121" i="2"/>
  <c r="P74" i="2"/>
  <c r="P110" i="2"/>
  <c r="P84" i="2"/>
  <c r="P83" i="2"/>
  <c r="P120" i="2"/>
  <c r="P102" i="2"/>
  <c r="P107" i="2"/>
  <c r="P99" i="2"/>
  <c r="P91" i="2"/>
  <c r="P78" i="2"/>
  <c r="P129" i="2"/>
  <c r="P118" i="2"/>
  <c r="P106" i="2"/>
  <c r="P98" i="2"/>
  <c r="P89" i="2"/>
  <c r="P76" i="2"/>
  <c r="P123" i="2"/>
  <c r="P95" i="2"/>
  <c r="P86" i="2"/>
  <c r="P70" i="2"/>
  <c r="P128" i="2"/>
  <c r="P119" i="2"/>
  <c r="P82" i="2"/>
  <c r="P73" i="2"/>
  <c r="P69" i="2"/>
  <c r="P127" i="2"/>
  <c r="P116" i="2"/>
  <c r="P114" i="2"/>
  <c r="P79" i="2"/>
  <c r="P126" i="2"/>
  <c r="P115" i="2"/>
  <c r="P109" i="2"/>
  <c r="P105" i="2"/>
  <c r="P101" i="2"/>
  <c r="P97" i="2"/>
  <c r="P93" i="2"/>
  <c r="P88" i="2"/>
  <c r="P75" i="2"/>
  <c r="P85" i="2"/>
  <c r="P77" i="2"/>
  <c r="P124" i="2"/>
  <c r="P112" i="2"/>
  <c r="P108" i="2"/>
  <c r="P104" i="2"/>
  <c r="P100" i="2"/>
  <c r="P96" i="2"/>
  <c r="P92" i="2"/>
  <c r="P87" i="2"/>
  <c r="P80" i="2"/>
  <c r="P71" i="2"/>
  <c r="P130" i="2"/>
  <c r="P125" i="2"/>
  <c r="P131" i="2" l="1"/>
  <c r="N12" i="2" l="1"/>
  <c r="B64" i="2" l="1"/>
  <c r="C222" i="2" s="1"/>
  <c r="D222" i="2" s="1"/>
  <c r="M202" i="2"/>
  <c r="L202" i="2"/>
  <c r="K202" i="2"/>
  <c r="J202" i="2"/>
  <c r="H202" i="2"/>
  <c r="I224" i="2" s="1"/>
  <c r="J224" i="2" s="1"/>
  <c r="G202" i="2"/>
  <c r="F224" i="2" s="1"/>
  <c r="G224" i="2" s="1"/>
  <c r="F202" i="2"/>
  <c r="C224" i="2" s="1"/>
  <c r="D224" i="2" s="1"/>
  <c r="E202" i="2"/>
  <c r="L222" i="2" s="1"/>
  <c r="M222" i="2" s="1"/>
  <c r="C202" i="2"/>
  <c r="F222" i="2" s="1"/>
  <c r="G222" i="2" s="1"/>
  <c r="B202" i="2"/>
  <c r="N11" i="2" l="1"/>
  <c r="H64" i="2" l="1"/>
  <c r="G64" i="2"/>
  <c r="G173" i="2" s="1"/>
  <c r="N173" i="2" l="1"/>
  <c r="G197" i="2"/>
  <c r="N7" i="2"/>
  <c r="N13" i="2"/>
  <c r="N8" i="2"/>
  <c r="N197" i="2" l="1"/>
  <c r="P173" i="2" s="1"/>
  <c r="I64" i="2"/>
  <c r="N10" i="2"/>
  <c r="L224" i="2" l="1"/>
  <c r="M224" i="2" s="1"/>
  <c r="I201" i="2"/>
  <c r="I202" i="2" s="1"/>
  <c r="P196" i="2"/>
  <c r="P179" i="2"/>
  <c r="P183" i="2"/>
  <c r="P166" i="2"/>
  <c r="P135" i="2"/>
  <c r="P156" i="2"/>
  <c r="P190" i="2"/>
  <c r="P141" i="2"/>
  <c r="P146" i="2"/>
  <c r="P165" i="2"/>
  <c r="P138" i="2"/>
  <c r="P191" i="2"/>
  <c r="P167" i="2"/>
  <c r="P136" i="2"/>
  <c r="P169" i="2"/>
  <c r="P178" i="2"/>
  <c r="P153" i="2"/>
  <c r="P157" i="2"/>
  <c r="P151" i="2"/>
  <c r="P174" i="2"/>
  <c r="P134" i="2"/>
  <c r="P171" i="2"/>
  <c r="P184" i="2"/>
  <c r="P186" i="2"/>
  <c r="P154" i="2"/>
  <c r="P137" i="2"/>
  <c r="P145" i="2"/>
  <c r="P158" i="2"/>
  <c r="P143" i="2"/>
  <c r="P159" i="2"/>
  <c r="P188" i="2"/>
  <c r="P170" i="2"/>
  <c r="P195" i="2"/>
  <c r="P164" i="2"/>
  <c r="P177" i="2"/>
  <c r="P163" i="2"/>
  <c r="P172" i="2"/>
  <c r="P192" i="2"/>
  <c r="P185" i="2"/>
  <c r="P180" i="2"/>
  <c r="P182" i="2"/>
  <c r="P155" i="2"/>
  <c r="P142" i="2"/>
  <c r="P176" i="2"/>
  <c r="P144" i="2"/>
  <c r="P181" i="2"/>
  <c r="P139" i="2"/>
  <c r="P162" i="2"/>
  <c r="P168" i="2"/>
  <c r="P160" i="2"/>
  <c r="P150" i="2"/>
  <c r="P152" i="2"/>
  <c r="P175" i="2"/>
  <c r="P187" i="2"/>
  <c r="P140" i="2"/>
  <c r="P148" i="2"/>
  <c r="P193" i="2"/>
  <c r="P149" i="2"/>
  <c r="P194" i="2"/>
  <c r="P147" i="2"/>
  <c r="P189" i="2"/>
  <c r="P161" i="2"/>
  <c r="F246" i="2"/>
  <c r="E246" i="2"/>
  <c r="K64" i="2"/>
  <c r="F226" i="2" s="1"/>
  <c r="G226" i="2" s="1"/>
  <c r="E64" i="2"/>
  <c r="F64" i="2"/>
  <c r="I65" i="2"/>
  <c r="C226" i="2"/>
  <c r="D226" i="2" s="1"/>
  <c r="L64" i="2"/>
  <c r="M64" i="2"/>
  <c r="D64" i="2"/>
  <c r="P197" i="2" l="1"/>
  <c r="G246" i="2"/>
  <c r="F65" i="2"/>
  <c r="G65" i="2"/>
  <c r="H65" i="2"/>
  <c r="E65" i="2"/>
  <c r="M65" i="2"/>
  <c r="L65" i="2"/>
  <c r="J65" i="2"/>
  <c r="K65" i="2"/>
  <c r="C65" i="2"/>
  <c r="N9" i="2"/>
  <c r="N14" i="2"/>
  <c r="D65" i="2" l="1"/>
  <c r="N64" i="2"/>
  <c r="P62" i="2" l="1"/>
  <c r="P61" i="2"/>
  <c r="P16" i="2"/>
  <c r="P20" i="2"/>
  <c r="P24" i="2"/>
  <c r="P28" i="2"/>
  <c r="P15" i="2"/>
  <c r="P19" i="2"/>
  <c r="P17" i="2"/>
  <c r="P18" i="2"/>
  <c r="P31" i="2"/>
  <c r="P30" i="2"/>
  <c r="P29" i="2"/>
  <c r="P27" i="2"/>
  <c r="P26" i="2"/>
  <c r="P21" i="2"/>
  <c r="P23" i="2"/>
  <c r="P22" i="2"/>
  <c r="P25" i="2"/>
  <c r="P33" i="2"/>
  <c r="P37" i="2"/>
  <c r="P41" i="2"/>
  <c r="P34" i="2"/>
  <c r="P38" i="2"/>
  <c r="P47" i="2"/>
  <c r="P44" i="2"/>
  <c r="P43" i="2"/>
  <c r="P46" i="2"/>
  <c r="P42" i="2"/>
  <c r="P40" i="2"/>
  <c r="P39" i="2"/>
  <c r="P32" i="2"/>
  <c r="P36" i="2"/>
  <c r="P35" i="2"/>
  <c r="P45" i="2"/>
  <c r="P48" i="2"/>
  <c r="P51" i="2"/>
  <c r="P55" i="2"/>
  <c r="P59" i="2"/>
  <c r="P58" i="2"/>
  <c r="P50" i="2"/>
  <c r="P54" i="2"/>
  <c r="P49" i="2"/>
  <c r="P53" i="2"/>
  <c r="P57" i="2"/>
  <c r="P60" i="2"/>
  <c r="P52" i="2"/>
  <c r="P63" i="2"/>
  <c r="P56" i="2"/>
  <c r="P12" i="2"/>
  <c r="P11" i="2"/>
  <c r="P13" i="2"/>
  <c r="P8" i="2"/>
  <c r="P7" i="2"/>
  <c r="P14" i="2"/>
  <c r="P9" i="2"/>
  <c r="P10" i="2"/>
  <c r="P64" i="2" l="1"/>
  <c r="N200" i="2"/>
  <c r="N201" i="2"/>
  <c r="D202" i="2"/>
  <c r="I222" i="2" s="1"/>
  <c r="J222" i="2" s="1"/>
  <c r="N202" i="2" l="1"/>
  <c r="P200" i="2" s="1"/>
  <c r="P201" i="2" l="1"/>
  <c r="P202" i="2" s="1"/>
  <c r="I246" i="2"/>
</calcChain>
</file>

<file path=xl/sharedStrings.xml><?xml version="1.0" encoding="utf-8"?>
<sst xmlns="http://schemas.openxmlformats.org/spreadsheetml/2006/main" count="11515" uniqueCount="1600">
  <si>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</si>
  <si>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</si>
  <si>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</si>
  <si>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</si>
  <si>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</si>
  <si>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</si>
  <si>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</si>
  <si>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</si>
  <si>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</si>
  <si>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</si>
  <si>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</si>
  <si>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</si>
  <si>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Тенденции</t>
  </si>
  <si>
    <t>Итог</t>
  </si>
  <si>
    <t>Фирмы</t>
  </si>
  <si>
    <t>%</t>
  </si>
  <si>
    <t>FISH</t>
  </si>
  <si>
    <t>Fuqaroligi</t>
  </si>
  <si>
    <t>Статистика Авиабилетов (ЗА 2020 ГОД)</t>
  </si>
  <si>
    <t>Перечесление</t>
  </si>
  <si>
    <t>Наличные</t>
  </si>
  <si>
    <t>Способ покупки</t>
  </si>
  <si>
    <t>Sana/Сана</t>
  </si>
  <si>
    <t>Buyurtmachi tashkilot nomi</t>
  </si>
  <si>
    <t xml:space="preserve">Buyurtmachi </t>
  </si>
  <si>
    <t>Safar maqsadi</t>
  </si>
  <si>
    <t>Reys</t>
  </si>
  <si>
    <t>Reys sanasi</t>
  </si>
  <si>
    <t>Aviatashuvchi</t>
  </si>
  <si>
    <t>Bilet narxi</t>
  </si>
  <si>
    <t>To'lov statusi</t>
  </si>
  <si>
    <t>Ne Rezident</t>
  </si>
  <si>
    <t>Ist-Tas</t>
  </si>
  <si>
    <t>HY</t>
  </si>
  <si>
    <t>Intr</t>
  </si>
  <si>
    <t>Ist-Tas-Ist</t>
  </si>
  <si>
    <t>Rezident</t>
  </si>
  <si>
    <t>Tas-Ist-Tas</t>
  </si>
  <si>
    <t>Tas-Ist</t>
  </si>
  <si>
    <t>TK</t>
  </si>
  <si>
    <t>CZ</t>
  </si>
  <si>
    <t>20.01.2020-23.01.2020</t>
  </si>
  <si>
    <t>27.01.2020-01.02.2020</t>
  </si>
  <si>
    <t>Amerika Qo'shma Shtatlari</t>
  </si>
  <si>
    <t xml:space="preserve">Argentina </t>
  </si>
  <si>
    <t>Armansiton</t>
  </si>
  <si>
    <t>Avstraliya</t>
  </si>
  <si>
    <t>Avstriya</t>
  </si>
  <si>
    <t xml:space="preserve">Azarbayjon </t>
  </si>
  <si>
    <t>Bali</t>
  </si>
  <si>
    <t xml:space="preserve">Belarusiya </t>
  </si>
  <si>
    <t>Birlashgan Arab Amirliklari</t>
  </si>
  <si>
    <t xml:space="preserve">Bolgariya </t>
  </si>
  <si>
    <t xml:space="preserve">Braziliya </t>
  </si>
  <si>
    <t>Buyuk Britaniya</t>
  </si>
  <si>
    <t>Chexiya</t>
  </si>
  <si>
    <t>Chili</t>
  </si>
  <si>
    <t xml:space="preserve">Daniya </t>
  </si>
  <si>
    <t xml:space="preserve">Estoniya </t>
  </si>
  <si>
    <t>Fiji</t>
  </si>
  <si>
    <t xml:space="preserve">Finlandiya </t>
  </si>
  <si>
    <t xml:space="preserve">Fransiya </t>
  </si>
  <si>
    <t xml:space="preserve">Germaniya </t>
  </si>
  <si>
    <t xml:space="preserve">Gollandiya </t>
  </si>
  <si>
    <t xml:space="preserve">Gretsiya </t>
  </si>
  <si>
    <t xml:space="preserve">Gruziya </t>
  </si>
  <si>
    <t>Hindiston</t>
  </si>
  <si>
    <t xml:space="preserve">Indoneziya </t>
  </si>
  <si>
    <t>Irlandiya</t>
  </si>
  <si>
    <t xml:space="preserve">Ispaniya </t>
  </si>
  <si>
    <t xml:space="preserve">Isroil </t>
  </si>
  <si>
    <t xml:space="preserve">Italiya </t>
  </si>
  <si>
    <t>Janubiy Afrika</t>
  </si>
  <si>
    <t>Janubiy Koreya</t>
  </si>
  <si>
    <t>Kipr</t>
  </si>
  <si>
    <t xml:space="preserve">Latviya </t>
  </si>
  <si>
    <t xml:space="preserve">Litva </t>
  </si>
  <si>
    <t xml:space="preserve">Malayziya </t>
  </si>
  <si>
    <t xml:space="preserve">Malta </t>
  </si>
  <si>
    <t>Meksika</t>
  </si>
  <si>
    <t>Norvegiya</t>
  </si>
  <si>
    <t xml:space="preserve">O'zbekiston </t>
  </si>
  <si>
    <t xml:space="preserve">Portugaliya </t>
  </si>
  <si>
    <t>Qirg'iziston</t>
  </si>
  <si>
    <t xml:space="preserve">Qozoqiston </t>
  </si>
  <si>
    <t xml:space="preserve">Rossiya </t>
  </si>
  <si>
    <t xml:space="preserve">Ruminiya </t>
  </si>
  <si>
    <t>Saudia Arabistoni</t>
  </si>
  <si>
    <t>Shotlandiya</t>
  </si>
  <si>
    <t xml:space="preserve">Shvetsiya </t>
  </si>
  <si>
    <t>Shveytsariya</t>
  </si>
  <si>
    <t>Singapur</t>
  </si>
  <si>
    <t xml:space="preserve">Slovakiya </t>
  </si>
  <si>
    <t xml:space="preserve">Sloveniya </t>
  </si>
  <si>
    <t>Tayland</t>
  </si>
  <si>
    <t>Tayvan</t>
  </si>
  <si>
    <t xml:space="preserve">Tojikiston </t>
  </si>
  <si>
    <t xml:space="preserve">Turkiya </t>
  </si>
  <si>
    <t xml:space="preserve">Turkmaniston </t>
  </si>
  <si>
    <t xml:space="preserve">Ukraina </t>
  </si>
  <si>
    <t xml:space="preserve">Vengriya </t>
  </si>
  <si>
    <t>Xitoy</t>
  </si>
  <si>
    <t>Yaponiya</t>
  </si>
  <si>
    <t>Резидент</t>
  </si>
  <si>
    <t>AYTEMUR/HALIT</t>
  </si>
  <si>
    <t xml:space="preserve">High Land City </t>
  </si>
  <si>
    <t>Mirqodirov Ibrohim</t>
  </si>
  <si>
    <t>Bogcha Proekt</t>
  </si>
  <si>
    <t xml:space="preserve"> OZDEMIR/HAKAN</t>
  </si>
  <si>
    <t xml:space="preserve">Hilton Hotel </t>
  </si>
  <si>
    <t>YUZLU/SELAMI</t>
  </si>
  <si>
    <t xml:space="preserve">Ahmadhodjaeva Yulduz </t>
  </si>
  <si>
    <t>Lot 5</t>
  </si>
  <si>
    <t>KASIMOV/JASUR</t>
  </si>
  <si>
    <t xml:space="preserve">Sergeli Industrial Park </t>
  </si>
  <si>
    <t xml:space="preserve">Qosimov Jasur </t>
  </si>
  <si>
    <t>Muzokarlar Uchun</t>
  </si>
  <si>
    <t>Tas-Ist-Deniz-Ist-Tas</t>
  </si>
  <si>
    <t>07.01-18.01.</t>
  </si>
  <si>
    <t xml:space="preserve">IDIEV/MUKHRIDDIN </t>
  </si>
  <si>
    <t>NURIEV/ARTUR</t>
  </si>
  <si>
    <t xml:space="preserve">City Makon </t>
  </si>
  <si>
    <t xml:space="preserve">Nuriev Artur </t>
  </si>
  <si>
    <t>08.01-09.01.</t>
  </si>
  <si>
    <t xml:space="preserve">KHAKIMOV/DJAMSHID </t>
  </si>
  <si>
    <t>ABDUSAMADOV/NOSIR</t>
  </si>
  <si>
    <t>Korahodjaev Bakhtiyor</t>
  </si>
  <si>
    <t>09.01.</t>
  </si>
  <si>
    <t>HAKIMOV/ALISHERHUJA</t>
  </si>
  <si>
    <t>09.01-12.01.</t>
  </si>
  <si>
    <t xml:space="preserve">ROMANOV/ALISHER </t>
  </si>
  <si>
    <t>Gold Moon</t>
  </si>
  <si>
    <t>Romanov Alisher</t>
  </si>
  <si>
    <t>Ist-Vin-Ist</t>
  </si>
  <si>
    <t>16.01-22.01.</t>
  </si>
  <si>
    <t xml:space="preserve"> MAKHMUDOV/KHIKMAT</t>
  </si>
  <si>
    <t>RASULOV/DILMUROD</t>
  </si>
  <si>
    <t>Jarima-Qaytadan bron</t>
  </si>
  <si>
    <t>Tas-Ist-Vin-Ist-Tas</t>
  </si>
  <si>
    <t xml:space="preserve"> OBIDOVA/ZULFIYAKHON</t>
  </si>
  <si>
    <t xml:space="preserve">Cip Oplata </t>
  </si>
  <si>
    <t>Tas-Seul-Shan-Seul-Tas</t>
  </si>
  <si>
    <t>08.01-13.01.</t>
  </si>
  <si>
    <t>INTR</t>
  </si>
  <si>
    <t xml:space="preserve"> KAMILOVA/MUNISA </t>
  </si>
  <si>
    <t>Ist-Deniz-Ist</t>
  </si>
  <si>
    <t xml:space="preserve">GURKAN/HUSEYIN </t>
  </si>
  <si>
    <t>AKSAN SAVAS</t>
  </si>
  <si>
    <t>Green City</t>
  </si>
  <si>
    <t>Turamanov Aladin</t>
  </si>
  <si>
    <t>OZASLAN  MUSTAFAFEDAI</t>
  </si>
  <si>
    <t>Mos-Tas</t>
  </si>
  <si>
    <t xml:space="preserve"> PEHLIVANLI/DOGAN </t>
  </si>
  <si>
    <t>20.01.-02.02.</t>
  </si>
  <si>
    <t>KADER/MURAT</t>
  </si>
  <si>
    <t>Saidov Saidaxmadxon</t>
  </si>
  <si>
    <t>16.01-19.01.</t>
  </si>
  <si>
    <t xml:space="preserve">USMANOV SAMAD </t>
  </si>
  <si>
    <t>Qurulish Vazirligi</t>
  </si>
  <si>
    <t>Tas-Urum-Pek-Chong</t>
  </si>
  <si>
    <t xml:space="preserve">YULDASHEV JASUR </t>
  </si>
  <si>
    <t>Pek-Ala-Tas</t>
  </si>
  <si>
    <t>Air Astana</t>
  </si>
  <si>
    <t xml:space="preserve"> IDIEV/MUKHRIDDIN</t>
  </si>
  <si>
    <t xml:space="preserve"> SEN/ERHAN </t>
  </si>
  <si>
    <t xml:space="preserve">Prime Tower </t>
  </si>
  <si>
    <t xml:space="preserve">Abdumominov Bahrom </t>
  </si>
  <si>
    <t xml:space="preserve">Ayraport Proekt </t>
  </si>
  <si>
    <t>GUROL/TOLGA</t>
  </si>
  <si>
    <t>AKTAYA/SELIME</t>
  </si>
  <si>
    <t xml:space="preserve"> AKTAYA/OZAN</t>
  </si>
  <si>
    <t xml:space="preserve"> AKTAYA/DENIZ</t>
  </si>
  <si>
    <t>AKTAYA/ADA</t>
  </si>
  <si>
    <t>22.01-25.01.</t>
  </si>
  <si>
    <t>KUDOVOY/VYACHESLAV</t>
  </si>
  <si>
    <t>Mirvokhitov Mirsait</t>
  </si>
  <si>
    <t xml:space="preserve">Vistofka </t>
  </si>
  <si>
    <t>Tas-Fran-Tas</t>
  </si>
  <si>
    <t>09.03-16.03.</t>
  </si>
  <si>
    <t>19.01-23.01.</t>
  </si>
  <si>
    <t>Aeraflot</t>
  </si>
  <si>
    <t>DAWES  JOHNPAUL</t>
  </si>
  <si>
    <t>Johongirov Shukurullo</t>
  </si>
  <si>
    <t>Lon-Ist-Tas-Ist-Lon</t>
  </si>
  <si>
    <t>20.01-23.01.</t>
  </si>
  <si>
    <t>AGCA  HAKAN</t>
  </si>
  <si>
    <t>YILMAZ IBRAHIM MURAT</t>
  </si>
  <si>
    <t>OZ MELTEM</t>
  </si>
  <si>
    <t>OREN  TULAY</t>
  </si>
  <si>
    <t>MIRBOBAEV/ZAKIR</t>
  </si>
  <si>
    <t>Komilov Javohir</t>
  </si>
  <si>
    <t xml:space="preserve">Sergeli-Beruniy City </t>
  </si>
  <si>
    <t>Tas-Mos-Tas</t>
  </si>
  <si>
    <t>21.01-26.01.</t>
  </si>
  <si>
    <t>KOMILOV/JAVOKHIR</t>
  </si>
  <si>
    <t xml:space="preserve">YILMAZ/KADIR </t>
  </si>
  <si>
    <t xml:space="preserve">Abidov Davron </t>
  </si>
  <si>
    <t>Sotuv Bolimi</t>
  </si>
  <si>
    <t>20.01-24.01.</t>
  </si>
  <si>
    <t xml:space="preserve"> ELMAS/MUSTAFA</t>
  </si>
  <si>
    <t>TIRIT/SINEM</t>
  </si>
  <si>
    <t>ARSLAN/VEDAT</t>
  </si>
  <si>
    <t>21.01-24.01.</t>
  </si>
  <si>
    <t xml:space="preserve"> DEMIREL/MURAT </t>
  </si>
  <si>
    <t xml:space="preserve">Gench Klavdiya </t>
  </si>
  <si>
    <t>21.01-23.01.</t>
  </si>
  <si>
    <t>KHUDAYAROV/MAKHSUD</t>
  </si>
  <si>
    <t xml:space="preserve">YUSUPOV/KAMOLIDDIN </t>
  </si>
  <si>
    <t>Green Trade Export</t>
  </si>
  <si>
    <t xml:space="preserve">Davurov Mukhiddin </t>
  </si>
  <si>
    <t>28.01-30.01.</t>
  </si>
  <si>
    <t>DAVUROV/MUKHIDDIN</t>
  </si>
  <si>
    <t>SUBANOV/DILSHOD</t>
  </si>
  <si>
    <t>MAKMUDOV/KHIKMAT</t>
  </si>
  <si>
    <t>Vin-Ist</t>
  </si>
  <si>
    <t>KORAKHODJAEV/BAKHTIYOR</t>
  </si>
  <si>
    <t>21.01-24.04.</t>
  </si>
  <si>
    <t>TAY BERNARD WEI PIN</t>
  </si>
  <si>
    <t xml:space="preserve">Di Construction Management </t>
  </si>
  <si>
    <t xml:space="preserve">Yakkasaroy City </t>
  </si>
  <si>
    <t>Tas-Ist-Sin</t>
  </si>
  <si>
    <t xml:space="preserve">CHAN HUI MIN </t>
  </si>
  <si>
    <t>Sing-Bank</t>
  </si>
  <si>
    <t>Bank-Tas</t>
  </si>
  <si>
    <t>Povisheniya Bizness Klass</t>
  </si>
  <si>
    <t>YILMAZ/KADIR</t>
  </si>
  <si>
    <t xml:space="preserve">GARIPOV/FLIUS </t>
  </si>
  <si>
    <t xml:space="preserve">Komilova Munisa </t>
  </si>
  <si>
    <t>Kaz-Mos-Tas-Mos-Kaz</t>
  </si>
  <si>
    <t xml:space="preserve">Tatariston </t>
  </si>
  <si>
    <t>27.01-31.01</t>
  </si>
  <si>
    <t>OZDEMIR/HAKAN</t>
  </si>
  <si>
    <t>GURKAN/HUSEYIN</t>
  </si>
  <si>
    <t>FOGIEL/CAROLINE</t>
  </si>
  <si>
    <t>Hai-Seul-Tas</t>
  </si>
  <si>
    <t>Tas-Seul-Hai</t>
  </si>
  <si>
    <t>FAYZULLAEV/TEMUR</t>
  </si>
  <si>
    <t>Tas-Kaz-Tas</t>
  </si>
  <si>
    <t>OBIDOVA ZULFIYAKHON</t>
  </si>
  <si>
    <t>Ist-Doha-Ist</t>
  </si>
  <si>
    <t>Qatar</t>
  </si>
  <si>
    <t>06.02-10.02.</t>
  </si>
  <si>
    <t>KAMILOVA/MUNISA</t>
  </si>
  <si>
    <t>Tas-Ist-Doha-Ist-Tas</t>
  </si>
  <si>
    <t>MUKHAMADIEV FIRDAVS</t>
  </si>
  <si>
    <t xml:space="preserve">Shtraf borishmadi </t>
  </si>
  <si>
    <t>Tas-Sam-Tas</t>
  </si>
  <si>
    <t xml:space="preserve">Afrosiyob </t>
  </si>
  <si>
    <t xml:space="preserve">ABDUVOKHITOV ALISHER </t>
  </si>
  <si>
    <t xml:space="preserve">ABDULLAEV BAKHODIR </t>
  </si>
  <si>
    <t>KHODJAEV TEMURMALIK</t>
  </si>
  <si>
    <t>Tas-Navoi</t>
  </si>
  <si>
    <t>BAKIR/SERDAL</t>
  </si>
  <si>
    <t>IGNECI/AHMET YASIN</t>
  </si>
  <si>
    <t xml:space="preserve"> KOCAK/BAHADIR</t>
  </si>
  <si>
    <t>SAGLAM/KADIR</t>
  </si>
  <si>
    <t xml:space="preserve">SIRIN/SEZER </t>
  </si>
  <si>
    <t>DENIZ/HUSEYIN</t>
  </si>
  <si>
    <t>DEMIR/YUSUF</t>
  </si>
  <si>
    <t xml:space="preserve"> UYSAL/UNAL </t>
  </si>
  <si>
    <t>TEKKOL/MEHMET</t>
  </si>
  <si>
    <t>SIRIN/SINAN</t>
  </si>
  <si>
    <t>SIRIN/MEHMET</t>
  </si>
  <si>
    <t xml:space="preserve">SIRIN/BURAK </t>
  </si>
  <si>
    <t>OZTURK/OMER</t>
  </si>
  <si>
    <t>KARAKAS/MESUT</t>
  </si>
  <si>
    <t>IGNECI/UMIT</t>
  </si>
  <si>
    <t>GULER/YUNUS</t>
  </si>
  <si>
    <t xml:space="preserve"> VOLOSHYN/VADYM</t>
  </si>
  <si>
    <t>Mukhamdiev Firdavs</t>
  </si>
  <si>
    <t xml:space="preserve">Beruniy Muz Saroyi </t>
  </si>
  <si>
    <t>Kiev-Ala-Tas-Ala-Kiev</t>
  </si>
  <si>
    <t>29.01-01.02.</t>
  </si>
  <si>
    <t>UMATOV/SANJAR</t>
  </si>
  <si>
    <t>Agzamov Bahrom</t>
  </si>
  <si>
    <t>Tas-Ist-Dusel</t>
  </si>
  <si>
    <t>ATABAEV/BOBIR</t>
  </si>
  <si>
    <t>AGZAMOV/BAKHROMKHON</t>
  </si>
  <si>
    <t>BARON/GIUSEPPE</t>
  </si>
  <si>
    <t>Tas-Ist-Vin</t>
  </si>
  <si>
    <t>Vin-Mos-Tas</t>
  </si>
  <si>
    <t>BALDONESCHI/PAOLO GIOVANNI CARLO</t>
  </si>
  <si>
    <t>Mil-Ist-Tas</t>
  </si>
  <si>
    <t>TOYDEMIR/SAKIR MEHMET</t>
  </si>
  <si>
    <t>29.01-31.01.</t>
  </si>
  <si>
    <t>ARTIKKHODJAEV/FAYZULLA</t>
  </si>
  <si>
    <t>Dubai Baza</t>
  </si>
  <si>
    <t>Tas-Dubai-Tas</t>
  </si>
  <si>
    <t>02.02-03.02.</t>
  </si>
  <si>
    <t>TOYDEMIR/ERHAN</t>
  </si>
  <si>
    <t>Kaz-Mos</t>
  </si>
  <si>
    <t>DELICE/SAYAT</t>
  </si>
  <si>
    <t>02.02.-05.02</t>
  </si>
  <si>
    <t>WATTS ROBIN STUARD</t>
  </si>
  <si>
    <t xml:space="preserve">Aylanishga </t>
  </si>
  <si>
    <t>ERMAN/KIVANC</t>
  </si>
  <si>
    <t>Berlin-Mos-Tas</t>
  </si>
  <si>
    <t>Davlati</t>
  </si>
  <si>
    <t xml:space="preserve">Crafers </t>
  </si>
  <si>
    <t>HAYDAROGLU ISMAIL</t>
  </si>
  <si>
    <t xml:space="preserve">Hokimiyat </t>
  </si>
  <si>
    <t>Muzokaralar uchun</t>
  </si>
  <si>
    <t>Istanbul-Tashkent</t>
  </si>
  <si>
    <t>Congress Hall</t>
  </si>
  <si>
    <t>Uyga qaytish uchun</t>
  </si>
  <si>
    <t>Tashkent-Istanbul-Tashkent</t>
  </si>
  <si>
    <t xml:space="preserve"> Tashkent-Istanbul</t>
  </si>
  <si>
    <t>BAYSAL SULEYMAN</t>
  </si>
  <si>
    <t>Dream City Development</t>
  </si>
  <si>
    <t>Mutalov Abduvohob</t>
  </si>
  <si>
    <t>Istanbul-Tashkent-Istanbul</t>
  </si>
  <si>
    <t>12.01.20-18.01.20</t>
  </si>
  <si>
    <t>Master Pack</t>
  </si>
  <si>
    <t xml:space="preserve">LI SHIXIANG </t>
  </si>
  <si>
    <t>Crystal Paint</t>
  </si>
  <si>
    <t>Ataniyazov Ravshan</t>
  </si>
  <si>
    <t>Can-Pek-Tas-Urg-Can</t>
  </si>
  <si>
    <t>13.01.20-24.01.20</t>
  </si>
  <si>
    <t xml:space="preserve">ZHENG TAIHUA </t>
  </si>
  <si>
    <t>13.01.20-24.01.21</t>
  </si>
  <si>
    <t>Akfa Medline</t>
  </si>
  <si>
    <t>Zokirov Erkin</t>
  </si>
  <si>
    <t>SU</t>
  </si>
  <si>
    <t>21.01.20-23.01.20</t>
  </si>
  <si>
    <t xml:space="preserve">BAHCECI NEZAHATDENIZ </t>
  </si>
  <si>
    <t>17.01.20-31.01.20</t>
  </si>
  <si>
    <t>GUNAYDIN GURKAN</t>
  </si>
  <si>
    <t>15.01.20-07.02.20</t>
  </si>
  <si>
    <t>ATALAYEROZKAN SAFIYEMRS</t>
  </si>
  <si>
    <t xml:space="preserve">TAKIS YASIN </t>
  </si>
  <si>
    <t>Allegro Development</t>
  </si>
  <si>
    <t>Sotvoldiev Shohruh</t>
  </si>
  <si>
    <t>17.01.20-21.01.21</t>
  </si>
  <si>
    <t>OZDEN ADNAN</t>
  </si>
  <si>
    <t>KARACA BARAN</t>
  </si>
  <si>
    <t>Nematov Eldor</t>
  </si>
  <si>
    <t>Viza olib kelish uchun</t>
  </si>
  <si>
    <t>20.01.20-23.01.21</t>
  </si>
  <si>
    <t>Tas-Vostohny-Urumchi-Baiyun</t>
  </si>
  <si>
    <t xml:space="preserve">ATHAR FURQAN </t>
  </si>
  <si>
    <t>Milliy Bog</t>
  </si>
  <si>
    <t>Rahmatullaev Farhod</t>
  </si>
  <si>
    <t>Dubay-Tashkent</t>
  </si>
  <si>
    <t>Sharjah-Tashkent</t>
  </si>
  <si>
    <t xml:space="preserve">KOBILJONOV ISLOMJON </t>
  </si>
  <si>
    <t>Akfa University</t>
  </si>
  <si>
    <t>AKBAROV SANJARBEK</t>
  </si>
  <si>
    <t xml:space="preserve">DJALILOV BEKHZOD </t>
  </si>
  <si>
    <t xml:space="preserve">MIRZALIEVA KAMOLAT </t>
  </si>
  <si>
    <t>ATHAR FURQAN</t>
  </si>
  <si>
    <t xml:space="preserve">AKINCI/OSMAN </t>
  </si>
  <si>
    <t>Silver Tulp</t>
  </si>
  <si>
    <t>Hayitov Saidjon</t>
  </si>
  <si>
    <t>Ishlash maqsadida</t>
  </si>
  <si>
    <t>TAS-IST</t>
  </si>
  <si>
    <t xml:space="preserve">KULAKSIZ/DOGAN </t>
  </si>
  <si>
    <t xml:space="preserve">YAGCI/NECATI </t>
  </si>
  <si>
    <t>SEZER /HAKAN</t>
  </si>
  <si>
    <t xml:space="preserve">Olmazor City </t>
  </si>
  <si>
    <t>Bora Ozcapici</t>
  </si>
  <si>
    <t xml:space="preserve">Olmazor City Bo'yicha </t>
  </si>
  <si>
    <t>ANK-TAS-ANK</t>
  </si>
  <si>
    <t>13.01.2019-17.01.2019</t>
  </si>
  <si>
    <t xml:space="preserve">UZUCEK/ERGUN </t>
  </si>
  <si>
    <t xml:space="preserve">ERGIN/SAMET </t>
  </si>
  <si>
    <t>Techno Logistics</t>
  </si>
  <si>
    <t>Abdullaev Jamshidbek</t>
  </si>
  <si>
    <t>Yangi loyiha bo'yicha</t>
  </si>
  <si>
    <t>TAS-URG-TAS</t>
  </si>
  <si>
    <t xml:space="preserve">ABDULLAEV/JAMSHIDBEK </t>
  </si>
  <si>
    <t>11.01.2020-12.01.2020</t>
  </si>
  <si>
    <t>CETINTAS/ABDULLAH</t>
  </si>
  <si>
    <t>IST-TAS</t>
  </si>
  <si>
    <t xml:space="preserve">ALPGUVEN/CUNEYT </t>
  </si>
  <si>
    <t>Muxamadiev Firdavs</t>
  </si>
  <si>
    <t>IST-TAS-IST</t>
  </si>
  <si>
    <t>21.01.2020-23.01.2020</t>
  </si>
  <si>
    <t xml:space="preserve">TUZUNALP/KAMIL ONDER </t>
  </si>
  <si>
    <t xml:space="preserve">PAKIS/MELIS </t>
  </si>
  <si>
    <t xml:space="preserve">PAKIS/BASAR </t>
  </si>
  <si>
    <t xml:space="preserve">BARINBOIM/OLEG </t>
  </si>
  <si>
    <t>Khudoyorov Jasur</t>
  </si>
  <si>
    <t>Milliy Bog' loyihasi bo'cha</t>
  </si>
  <si>
    <t>MOS-TAS-MOS</t>
  </si>
  <si>
    <t xml:space="preserve">BUDKOV/IGOR </t>
  </si>
  <si>
    <t xml:space="preserve">NOVOCHADOV/KONSTANTIN </t>
  </si>
  <si>
    <t>VOL-MOS-VOL</t>
  </si>
  <si>
    <t xml:space="preserve">GUNES/SINAN </t>
  </si>
  <si>
    <t xml:space="preserve">Marupov Saidaziz </t>
  </si>
  <si>
    <t xml:space="preserve">KAVURKA/HUSEYIN </t>
  </si>
  <si>
    <t>KAYI/ ABDULHAMITMR</t>
  </si>
  <si>
    <t>19.01.2020- 23.01.2020</t>
  </si>
  <si>
    <t xml:space="preserve">ATAR/AHMET </t>
  </si>
  <si>
    <t xml:space="preserve">OVEZ/YUKSEL </t>
  </si>
  <si>
    <t xml:space="preserve">KIRCILI/AHMET </t>
  </si>
  <si>
    <t xml:space="preserve">SEZER/HAKAN </t>
  </si>
  <si>
    <t>TAS-URG</t>
  </si>
  <si>
    <t xml:space="preserve">KIRCILI/ALI </t>
  </si>
  <si>
    <t xml:space="preserve">SAIR/MUSTAFA </t>
  </si>
  <si>
    <t>Fatxutdinov Ziyovuddin</t>
  </si>
  <si>
    <t>TASHMUKHAMEDOV/AZIZ</t>
  </si>
  <si>
    <t>Mirjalilov Sherzod</t>
  </si>
  <si>
    <t>TAS-IST-TAS</t>
  </si>
  <si>
    <t xml:space="preserve">SHANAZAROV/DILSHOD </t>
  </si>
  <si>
    <t>KADIROV/SHUKHRAT</t>
  </si>
  <si>
    <t>IBRAHIMOV/INOMJON</t>
  </si>
  <si>
    <t>IST-ANT-IST</t>
  </si>
  <si>
    <t>29.01.2020-01.02.2020</t>
  </si>
  <si>
    <t>ABDULLAEV/JAMSHIDBEK</t>
  </si>
  <si>
    <t>URG-TAS</t>
  </si>
  <si>
    <t>TAS-IST-ANK</t>
  </si>
  <si>
    <t xml:space="preserve">BAGALSUN YUSUF </t>
  </si>
  <si>
    <t>Green Zone</t>
  </si>
  <si>
    <t>Green Zone loyihasi</t>
  </si>
  <si>
    <t>YUKSEK/ALICAN</t>
  </si>
  <si>
    <t>29.01.2020-17.02.2020</t>
  </si>
  <si>
    <t xml:space="preserve">AYDIN/BAHADIR </t>
  </si>
  <si>
    <t xml:space="preserve">CAKMAK/AHMET </t>
  </si>
  <si>
    <t>Ergashev Nodir</t>
  </si>
  <si>
    <t>Visa Olish uchun</t>
  </si>
  <si>
    <t>TAS-ALA-TAS</t>
  </si>
  <si>
    <t>29.01.2020-30.01.2020</t>
  </si>
  <si>
    <t xml:space="preserve">RAKHIMDJANOV/MARDON </t>
  </si>
  <si>
    <t>29.01.2020-30.01.2021</t>
  </si>
  <si>
    <t xml:space="preserve">ISHAK/OMER </t>
  </si>
  <si>
    <t>Olmazor Savdo Bo'limi</t>
  </si>
  <si>
    <t>Sattorov Abdufattoh</t>
  </si>
  <si>
    <t>5.02.2020-13.02.2020</t>
  </si>
  <si>
    <t>30.01.2020-31.01.2020</t>
  </si>
  <si>
    <t xml:space="preserve">Altair Building </t>
  </si>
  <si>
    <t>Art Invention</t>
  </si>
  <si>
    <t>Bukhara Palace</t>
  </si>
  <si>
    <t>City Net</t>
  </si>
  <si>
    <t>Discover Invest</t>
  </si>
  <si>
    <t>Durable Beton</t>
  </si>
  <si>
    <t>Gordor-Proplan</t>
  </si>
  <si>
    <t>Grand Road Tashkent</t>
  </si>
  <si>
    <t>KFC Hotel</t>
  </si>
  <si>
    <t>Manzarali gullar va daraxtlar</t>
  </si>
  <si>
    <t xml:space="preserve">Mirzo Ulugbek City </t>
  </si>
  <si>
    <t xml:space="preserve">Premium Village </t>
  </si>
  <si>
    <t>Supreme Quality</t>
  </si>
  <si>
    <t>Techno Alliance</t>
  </si>
  <si>
    <t>White City</t>
  </si>
  <si>
    <t xml:space="preserve">Yunusobod City </t>
  </si>
  <si>
    <t>Akfa Dream World</t>
  </si>
  <si>
    <t>Constant Cemeils</t>
  </si>
  <si>
    <t>Gonkong</t>
  </si>
  <si>
    <t>Продажа</t>
  </si>
  <si>
    <t>Направления</t>
  </si>
  <si>
    <t>кол-во</t>
  </si>
  <si>
    <t>Alviero</t>
  </si>
  <si>
    <t xml:space="preserve">Aviatsiya </t>
  </si>
  <si>
    <t>Rossiya</t>
  </si>
  <si>
    <t>05.02-07.02.</t>
  </si>
  <si>
    <t>ROMANOV/ALISHER</t>
  </si>
  <si>
    <t>KHODJAEV/BEKHZOD</t>
  </si>
  <si>
    <t xml:space="preserve">Biznes Povisheniya </t>
  </si>
  <si>
    <t>NORMATOV/AZIZ</t>
  </si>
  <si>
    <t xml:space="preserve">Normatov Aziz </t>
  </si>
  <si>
    <t>Tas-Sharj-Tas</t>
  </si>
  <si>
    <t>BAA</t>
  </si>
  <si>
    <t>08.02-11.02.</t>
  </si>
  <si>
    <t>OBIDOVA/ZULFIYAKHON</t>
  </si>
  <si>
    <t>HY/Perebron</t>
  </si>
  <si>
    <t>Inrt/Perebron</t>
  </si>
  <si>
    <t xml:space="preserve"> ATHAR/FURQAN</t>
  </si>
  <si>
    <t>Dubai-Tas-Dubai</t>
  </si>
  <si>
    <t>06.02-07.02.</t>
  </si>
  <si>
    <t xml:space="preserve">UZUNOGLU  OZCAN </t>
  </si>
  <si>
    <t>SIR SINAN</t>
  </si>
  <si>
    <t>Ank-Tas-Ist</t>
  </si>
  <si>
    <t xml:space="preserve"> LATIPOV/MAKHMUDJAN </t>
  </si>
  <si>
    <t>09.02-11.02.</t>
  </si>
  <si>
    <t xml:space="preserve"> OKILJONOV/ISLOMJON</t>
  </si>
  <si>
    <t>Tas-Dubai</t>
  </si>
  <si>
    <t xml:space="preserve"> PULICKAKUDIYIL/VARGHESE PAULOSE</t>
  </si>
  <si>
    <t>Saydaliev Fahriddin</t>
  </si>
  <si>
    <t>13.02-15.02</t>
  </si>
  <si>
    <t>KHATIWADA RAMCHANDRA SHARMA</t>
  </si>
  <si>
    <t>Lon-Mos-Tas</t>
  </si>
  <si>
    <t>Tas-Ala</t>
  </si>
  <si>
    <t>ZIELINSKA MARCELINA MARIA</t>
  </si>
  <si>
    <t>Tas-Ist-Lon</t>
  </si>
  <si>
    <t>EMEL/TELAT</t>
  </si>
  <si>
    <t xml:space="preserve">Mavlyanov Bobur </t>
  </si>
  <si>
    <t>Shtraf Uchmadi</t>
  </si>
  <si>
    <t>FAYZULLAEV/TIMUR</t>
  </si>
  <si>
    <t>Far-Tas</t>
  </si>
  <si>
    <t xml:space="preserve">Ozbekiston </t>
  </si>
  <si>
    <t>OMONOVA/BARNO</t>
  </si>
  <si>
    <t>Tas-Fer-Tas</t>
  </si>
  <si>
    <t>17.02-19.02</t>
  </si>
  <si>
    <t>MIRAKHMEDOV/MIRKOMIL</t>
  </si>
  <si>
    <t>Tas-Fer-Buh-Tas</t>
  </si>
  <si>
    <t xml:space="preserve">RASULOV/DILMUROD </t>
  </si>
  <si>
    <t>OLIANTINI/DAVID</t>
  </si>
  <si>
    <t>Bol-Ist-Tas-Ist-Bol</t>
  </si>
  <si>
    <t>15.02-22.02.</t>
  </si>
  <si>
    <t xml:space="preserve"> VANNI/MARCELLO</t>
  </si>
  <si>
    <t xml:space="preserve"> BACCHI/ENZO</t>
  </si>
  <si>
    <t>MONINI/GIANNI</t>
  </si>
  <si>
    <t>KOSAL TURGAY</t>
  </si>
  <si>
    <t>Ist-Ank</t>
  </si>
  <si>
    <t>Ank-Ist</t>
  </si>
  <si>
    <t>13.02-16.02.</t>
  </si>
  <si>
    <t>VALITOV/RAMIL</t>
  </si>
  <si>
    <t xml:space="preserve">Beruniy Muz Saroy </t>
  </si>
  <si>
    <t>AMINJONOV/BAKHODIR</t>
  </si>
  <si>
    <t xml:space="preserve"> MUKHAMADIEV/FIRDAVS</t>
  </si>
  <si>
    <t>Mos-Dubai</t>
  </si>
  <si>
    <t>Dubai</t>
  </si>
  <si>
    <t>12.02-19.02</t>
  </si>
  <si>
    <t>Uyga qaytish Uchun</t>
  </si>
  <si>
    <t>SIR/SINAN</t>
  </si>
  <si>
    <t>13.02-18.02.</t>
  </si>
  <si>
    <t>Ist-Ant-Ist</t>
  </si>
  <si>
    <t xml:space="preserve"> UZUNOGLU/OZCAN</t>
  </si>
  <si>
    <t>ISLAMOV OYBEK</t>
  </si>
  <si>
    <t>Tas-Ist-Ank-Ist-Tas</t>
  </si>
  <si>
    <t>14.02-16.02.</t>
  </si>
  <si>
    <t xml:space="preserve">GOKTUG/CIHAN MAZLUM </t>
  </si>
  <si>
    <t>Raziev Berdah</t>
  </si>
  <si>
    <t xml:space="preserve"> KALYONCUOGLU/CIHAT </t>
  </si>
  <si>
    <t xml:space="preserve">ERISEN/SAVAS </t>
  </si>
  <si>
    <t xml:space="preserve">GAFIIATULLIN NIIAZ </t>
  </si>
  <si>
    <t>Mos-Tas-Kaz</t>
  </si>
  <si>
    <t>18.02-20.02.</t>
  </si>
  <si>
    <t>DJURAEV BEGZOD</t>
  </si>
  <si>
    <t xml:space="preserve">Djuraev Begzod </t>
  </si>
  <si>
    <t>Tash-Pit-Oms-Mos-Tas</t>
  </si>
  <si>
    <t>18.02-21.02.</t>
  </si>
  <si>
    <t>KHASANOV JAVLONBEK</t>
  </si>
  <si>
    <t>AKCILAD/MUSTAFA</t>
  </si>
  <si>
    <t xml:space="preserve"> USMONOV/ZAYNIDDIN</t>
  </si>
  <si>
    <t>Pozilov Ulugbek</t>
  </si>
  <si>
    <t>Kiev-Ala-Tas</t>
  </si>
  <si>
    <t>Ukraina</t>
  </si>
  <si>
    <t xml:space="preserve">Air Astana </t>
  </si>
  <si>
    <t>KURMAEV/RUSTAM</t>
  </si>
  <si>
    <t>PAZILOV/ULUGBEK</t>
  </si>
  <si>
    <t>Tas-Mins-Kiev</t>
  </si>
  <si>
    <t xml:space="preserve">ONAY ERTUG </t>
  </si>
  <si>
    <t xml:space="preserve"> KHIDOYATOV/SHERZOD </t>
  </si>
  <si>
    <t>19.02-20.02.</t>
  </si>
  <si>
    <t>CIRT HASAN</t>
  </si>
  <si>
    <t>Ahmadhodjaeva Yulduz</t>
  </si>
  <si>
    <t>19.02-22.02.</t>
  </si>
  <si>
    <t>BIRDAL BELKIS</t>
  </si>
  <si>
    <t>Normirzaev Usmon</t>
  </si>
  <si>
    <t>NASRULAEV BAKHODIR</t>
  </si>
  <si>
    <t>Tas-Mos-Samara</t>
  </si>
  <si>
    <t>25.02-26.02.</t>
  </si>
  <si>
    <t>USMONOV ZAYNIDDIN</t>
  </si>
  <si>
    <t>Jarima Uchmadi</t>
  </si>
  <si>
    <t>Pit-Mos-Saratov</t>
  </si>
  <si>
    <t>Samar-Piter</t>
  </si>
  <si>
    <t xml:space="preserve">USMONOV/ZAYNIDDIN </t>
  </si>
  <si>
    <t>PAZILOV ULUGBEK</t>
  </si>
  <si>
    <t xml:space="preserve">Tas-Mos-Samara </t>
  </si>
  <si>
    <t>EROL/MEHMET ALI</t>
  </si>
  <si>
    <t>Ist-tas</t>
  </si>
  <si>
    <t>UNCU/AKIF TAHA</t>
  </si>
  <si>
    <t>Ank-Tas</t>
  </si>
  <si>
    <t>PAZILOV ULUGBEK</t>
  </si>
  <si>
    <t>ERISEN/SAVAS</t>
  </si>
  <si>
    <t xml:space="preserve"> THANNER/MICHAEL ALFONS</t>
  </si>
  <si>
    <t>Tok-Seul-Tas-Seul-Tok</t>
  </si>
  <si>
    <t xml:space="preserve">Yaponiya </t>
  </si>
  <si>
    <t>24.02-26.02.</t>
  </si>
  <si>
    <t>Asiana Air</t>
  </si>
  <si>
    <t>MAMIYA/KENJI</t>
  </si>
  <si>
    <t>MARDANOV KHUSEIN</t>
  </si>
  <si>
    <t>Tas-Ist-Ank</t>
  </si>
  <si>
    <t>KARA SELIM</t>
  </si>
  <si>
    <t>25.02-01.03.</t>
  </si>
  <si>
    <t>BABUCCUOGLU  YURDAER</t>
  </si>
  <si>
    <t>OYAL  NESE</t>
  </si>
  <si>
    <t xml:space="preserve">HATIBOGLU/MUSTAFA </t>
  </si>
  <si>
    <t>Jurahodjaev Sardor</t>
  </si>
  <si>
    <t>Lot -1</t>
  </si>
  <si>
    <t>24.02-27.02.</t>
  </si>
  <si>
    <t xml:space="preserve">KALYONCUOGLU/CIHAT </t>
  </si>
  <si>
    <t>ODILOV DAVRONBEK</t>
  </si>
  <si>
    <t>Buhara Palace</t>
  </si>
  <si>
    <t>Tas-Bukh</t>
  </si>
  <si>
    <t xml:space="preserve">IBRAGIMOV MUROD </t>
  </si>
  <si>
    <t xml:space="preserve">KHARISOV RAMIL </t>
  </si>
  <si>
    <t>MIRJALOLOV SHERZOD</t>
  </si>
  <si>
    <t>Bukh-Tas</t>
  </si>
  <si>
    <t xml:space="preserve">USMONOV/ZOKHIDJON </t>
  </si>
  <si>
    <t>YAZGAN KEREM</t>
  </si>
  <si>
    <t>Kon-Ist-Tas-Ist-Kon</t>
  </si>
  <si>
    <t>25.02-28.02</t>
  </si>
  <si>
    <t>RUZMETOV DILSHOD</t>
  </si>
  <si>
    <t>Riga-Ist-Tas</t>
  </si>
  <si>
    <t>Latvia</t>
  </si>
  <si>
    <t>Tas-Riga</t>
  </si>
  <si>
    <t>MAKHMUDOV FAKHRIDDIN</t>
  </si>
  <si>
    <t xml:space="preserve">NASRULAEV/BAKHODIR </t>
  </si>
  <si>
    <t>Mos-Sar-Ros-Nij-Perm</t>
  </si>
  <si>
    <t>28.02-04.03.</t>
  </si>
  <si>
    <t>USMONOV/ZAYNIDDIN</t>
  </si>
  <si>
    <t xml:space="preserve">NAJAFLI/JAFAR </t>
  </si>
  <si>
    <t xml:space="preserve">YILMAZ/CEM </t>
  </si>
  <si>
    <t xml:space="preserve">CAKAL/ISMAYIL </t>
  </si>
  <si>
    <t>STRUK/EVGENIIA</t>
  </si>
  <si>
    <t>Khakimov Jamshid</t>
  </si>
  <si>
    <t>Tas-Mos</t>
  </si>
  <si>
    <t>SHILNIKOVA/IRINA</t>
  </si>
  <si>
    <t>26.02-28.02.</t>
  </si>
  <si>
    <t>ANDREEV/ALEXEY</t>
  </si>
  <si>
    <t>FADEEV/ALEKSEI</t>
  </si>
  <si>
    <t>RUZMETOV/DILSHOD</t>
  </si>
  <si>
    <t xml:space="preserve">Jarima Qaytadan Bron </t>
  </si>
  <si>
    <t>MAKHMUDOV/FAKHRIDDIN</t>
  </si>
  <si>
    <t>TOSHMUKHAMEDOV/PULATJON</t>
  </si>
  <si>
    <t xml:space="preserve">Tamojniy Otdel </t>
  </si>
  <si>
    <t>Tas-Baku-Tas</t>
  </si>
  <si>
    <t xml:space="preserve">Azerbajan </t>
  </si>
  <si>
    <t>27.02-05.03.</t>
  </si>
  <si>
    <t xml:space="preserve"> BEKKULBEKOV/ELBEK </t>
  </si>
  <si>
    <t>03.03-05.03.</t>
  </si>
  <si>
    <t xml:space="preserve">YAZGAN/KEREM </t>
  </si>
  <si>
    <t>ABDULLAEV BAKHODIR</t>
  </si>
  <si>
    <t>Inrt</t>
  </si>
  <si>
    <t>ABDUVAKHITOV ALISHER</t>
  </si>
  <si>
    <t>SHIRMUKHAMEDOV AZIZ</t>
  </si>
  <si>
    <t>Dubai-Ist-Ank</t>
  </si>
  <si>
    <t>Sharja-Tas</t>
  </si>
  <si>
    <t xml:space="preserve">LATIPOV MAKHMUDJAN </t>
  </si>
  <si>
    <t>BADALOV/DJASUR</t>
  </si>
  <si>
    <t>Ant-Ist-Tas-Ist-Ant</t>
  </si>
  <si>
    <t>02.03-06.03</t>
  </si>
  <si>
    <t>UZUNOGLU/OZCAN</t>
  </si>
  <si>
    <t>SHOAEE/HAMIDREZA</t>
  </si>
  <si>
    <t xml:space="preserve">MUKHAMEDJANOV/ABDUJAVLON </t>
  </si>
  <si>
    <t xml:space="preserve">UZAL/MURAT </t>
  </si>
  <si>
    <t>KRAMERS ELEANOR MARGARET</t>
  </si>
  <si>
    <t>Roziqulov Shohruh</t>
  </si>
  <si>
    <t>Tas-Nur-Lon</t>
  </si>
  <si>
    <t>CAMERON SCOTT ANDREW</t>
  </si>
  <si>
    <t>Man-Ist-Tas-Man</t>
  </si>
  <si>
    <t>02.03-04.03.</t>
  </si>
  <si>
    <t>MUKHAMEDJANOV ABDUJAVLON</t>
  </si>
  <si>
    <t>Biznes Klass Povisheniya</t>
  </si>
  <si>
    <t>SEZER/HAKAN</t>
  </si>
  <si>
    <t>Ne Rezedent</t>
  </si>
  <si>
    <t>Olmazor City loyhasi bo'yicha</t>
  </si>
  <si>
    <t>ANK-IST-TAS</t>
  </si>
  <si>
    <t>AKCAY/ALI</t>
  </si>
  <si>
    <t>Ishlash Maqsadida</t>
  </si>
  <si>
    <t>YAPAR/ALI</t>
  </si>
  <si>
    <t>BAYSAL/SULEYMAN</t>
  </si>
  <si>
    <t>04.02.2020-10.02.2020</t>
  </si>
  <si>
    <t xml:space="preserve">OZALP/HUSNU KORHAN </t>
  </si>
  <si>
    <t>11.02.2020-13.02.2020</t>
  </si>
  <si>
    <t xml:space="preserve">THUWAIBA/EISA MUSA FADLELMOULA </t>
  </si>
  <si>
    <t xml:space="preserve">YILMAZ/MAHMUT </t>
  </si>
  <si>
    <t>10.02.2020-23.02.2020</t>
  </si>
  <si>
    <t>AKCAN/SAVAS MR</t>
  </si>
  <si>
    <t>IST-TAS-TAS</t>
  </si>
  <si>
    <t>10.02.2020-16.02.2020</t>
  </si>
  <si>
    <t>MURAT/SAVAS</t>
  </si>
  <si>
    <t>Maxalova Evgeniya</t>
  </si>
  <si>
    <t xml:space="preserve">YILDIRIM/AYTAC </t>
  </si>
  <si>
    <t xml:space="preserve">AKBAS/MEVLUT </t>
  </si>
  <si>
    <t>TURSUNOV/BOBURJON</t>
  </si>
  <si>
    <t>Rezedent</t>
  </si>
  <si>
    <t>TAS-DUB-TAS</t>
  </si>
  <si>
    <t>B.A.A</t>
  </si>
  <si>
    <t>13.02.2020-16.02.2020</t>
  </si>
  <si>
    <t xml:space="preserve"> SHANAZAROV/DILSHOD</t>
  </si>
  <si>
    <t>MUKHAMADIEV/FIRDAVS</t>
  </si>
  <si>
    <t>TAS-DUB</t>
  </si>
  <si>
    <t xml:space="preserve">BIRPINAR/OSMAN </t>
  </si>
  <si>
    <t>14.02.2020-17.02.2020</t>
  </si>
  <si>
    <t xml:space="preserve">BAYSAL/SULEYMAN </t>
  </si>
  <si>
    <t>KHOLIKULOVA/MOKHIBEGIM</t>
  </si>
  <si>
    <t>Kholdorova Sarvinoz</t>
  </si>
  <si>
    <t>Malaka Oshirish Uchun</t>
  </si>
  <si>
    <t>TAS-MAS-TAS</t>
  </si>
  <si>
    <t>22.02.2020-01.03.2020</t>
  </si>
  <si>
    <t xml:space="preserve">KHOLDOROVA/SARVINOZ </t>
  </si>
  <si>
    <t xml:space="preserve">BARON/GIUSEPPE </t>
  </si>
  <si>
    <t>Isabaev Sanjar</t>
  </si>
  <si>
    <t>Muz saroy proekti</t>
  </si>
  <si>
    <t>VEN-IST-TAS-IST-VEN</t>
  </si>
  <si>
    <t>Italiya</t>
  </si>
  <si>
    <t>18.02.2020-20.02.2020</t>
  </si>
  <si>
    <t xml:space="preserve">KALNYTSKA/YEVHENIYA </t>
  </si>
  <si>
    <t xml:space="preserve">ABDULLAEV/KHASAN </t>
  </si>
  <si>
    <t>Tajriba almashish</t>
  </si>
  <si>
    <t>17.02.2020-23.02.2020</t>
  </si>
  <si>
    <t xml:space="preserve">OZASLAN MUSTAFA/ FEDAI </t>
  </si>
  <si>
    <t xml:space="preserve">USTUNTAG/MUZAFFER </t>
  </si>
  <si>
    <t xml:space="preserve">ARSLAN/VEDAT </t>
  </si>
  <si>
    <t>18.02.2020-19.02.2020</t>
  </si>
  <si>
    <t>BARINBOIM /OLEG</t>
  </si>
  <si>
    <t>VOL-MOS-TAS-MOS-VOL</t>
  </si>
  <si>
    <t>25.02.2020-27.02.2020</t>
  </si>
  <si>
    <t>NOVOCHADOV /KONSTANTIN</t>
  </si>
  <si>
    <t>TYUTKOV /DMITRY</t>
  </si>
  <si>
    <t>SOC-TAS-MOS</t>
  </si>
  <si>
    <t>VOL-SOC</t>
  </si>
  <si>
    <t>MOS-VOL</t>
  </si>
  <si>
    <t xml:space="preserve">LYAKHOV/EVGENY </t>
  </si>
  <si>
    <t>21.02.2020-24.02.2020</t>
  </si>
  <si>
    <t xml:space="preserve">SHCHERBAKOV/VSEVOLOD </t>
  </si>
  <si>
    <t xml:space="preserve">BOLSHOV/DANIIL </t>
  </si>
  <si>
    <t>ABILPATTAEV/SHERZOT</t>
  </si>
  <si>
    <t>20.02.2020-21.02.2020</t>
  </si>
  <si>
    <t>CETIN/IBRAHIM</t>
  </si>
  <si>
    <t xml:space="preserve">ASLAN/HAKAN </t>
  </si>
  <si>
    <t>GUNAYDIN /GURKAN</t>
  </si>
  <si>
    <t xml:space="preserve">MUKHLAEVA/MADINA </t>
  </si>
  <si>
    <t>Jarima uchmadi</t>
  </si>
  <si>
    <t>26.01.2020-01.03.2020</t>
  </si>
  <si>
    <t xml:space="preserve">POKRAS/DMITRII </t>
  </si>
  <si>
    <t xml:space="preserve">ZIYODULLOEVA/FERUZA </t>
  </si>
  <si>
    <t>26.02.2020-04.02.2020</t>
  </si>
  <si>
    <t>CAKMAK/AHMET</t>
  </si>
  <si>
    <t xml:space="preserve">AYDIN/NURULLAH </t>
  </si>
  <si>
    <t>ERDIREN HUDAVERDI</t>
  </si>
  <si>
    <t>DAWES /JOHN PAUL</t>
  </si>
  <si>
    <t>LON-IST-TAS-IST-LON</t>
  </si>
  <si>
    <t>23.02.2020-26.02.2020</t>
  </si>
  <si>
    <t xml:space="preserve">OKUMUS/FIKRET </t>
  </si>
  <si>
    <t xml:space="preserve">ATALAYEROZKAN/SAFIYE </t>
  </si>
  <si>
    <t xml:space="preserve">OZASLAN/MUSTAFA FEDAI </t>
  </si>
  <si>
    <t xml:space="preserve">ELMAS/MUSTAFA </t>
  </si>
  <si>
    <t>22.02.2020-27.02.2020</t>
  </si>
  <si>
    <t xml:space="preserve">GUNAYDIN/GURKAN </t>
  </si>
  <si>
    <t>AKCAN /SAVAS</t>
  </si>
  <si>
    <t xml:space="preserve">AKBAS/MEVULT </t>
  </si>
  <si>
    <t>AKCAN SAVAS</t>
  </si>
  <si>
    <t xml:space="preserve">YARDIMCI/SEDAT </t>
  </si>
  <si>
    <t>Companies</t>
  </si>
  <si>
    <t>Сумма</t>
  </si>
  <si>
    <t xml:space="preserve"> GORDIN/ALEXANDER MICHAEL</t>
  </si>
  <si>
    <t>Nyu-Tas-Nyu</t>
  </si>
  <si>
    <t>05.03-09.03.</t>
  </si>
  <si>
    <t>LIPMAN/ALEX</t>
  </si>
  <si>
    <t xml:space="preserve">Aeraport Cip Oplata </t>
  </si>
  <si>
    <t>Fly Dubai</t>
  </si>
  <si>
    <t>Tas-Dubai-Ist-Tas</t>
  </si>
  <si>
    <t>29.02-04.03.</t>
  </si>
  <si>
    <t>Ank-Ist-Tas</t>
  </si>
  <si>
    <t>Saidov Mirlaziz</t>
  </si>
  <si>
    <t xml:space="preserve">Hilton Eshik Remonti uchun </t>
  </si>
  <si>
    <t>04.03-08.03</t>
  </si>
  <si>
    <t xml:space="preserve">Mirzamahmudov Mirakmal </t>
  </si>
  <si>
    <t xml:space="preserve">Logistika </t>
  </si>
  <si>
    <t>Baku-Tas</t>
  </si>
  <si>
    <t>BEKKULBEKOV/ELBEK</t>
  </si>
  <si>
    <t>Modern Alliance Stroe</t>
  </si>
  <si>
    <t>Perm-Mos</t>
  </si>
  <si>
    <t>NASRULAEV/BAKHODIR</t>
  </si>
  <si>
    <t>IZGI ESMA</t>
  </si>
  <si>
    <t>YILMAZ SEMIH</t>
  </si>
  <si>
    <t xml:space="preserve">AKSOY/UNAL </t>
  </si>
  <si>
    <t>Ishlashga Lot 5</t>
  </si>
  <si>
    <t xml:space="preserve">ATALAY/AHMET </t>
  </si>
  <si>
    <t xml:space="preserve">GURBUZ/IBRAHIM </t>
  </si>
  <si>
    <t xml:space="preserve">KARAKAS/AHMET TURAN </t>
  </si>
  <si>
    <t>DEHMEN MEMIOGLU EBRU</t>
  </si>
  <si>
    <t>09.03-11.03.</t>
  </si>
  <si>
    <t>MEMLUK MURAT ZUBEYIR</t>
  </si>
  <si>
    <t>CAKAL/ISMAYIL</t>
  </si>
  <si>
    <t xml:space="preserve">Rahimdjanov Mardon </t>
  </si>
  <si>
    <t>10.03-15.03.</t>
  </si>
  <si>
    <t>10.03-12.03.</t>
  </si>
  <si>
    <t xml:space="preserve"> AYDIN/AKTUG ANIL</t>
  </si>
  <si>
    <t>BURKHANOVA/NORSULUV</t>
  </si>
  <si>
    <t>NAJAFLI/JAFAR</t>
  </si>
  <si>
    <t>OYBELLISEZGIN/NUR</t>
  </si>
  <si>
    <t>UYSAL/GULSAH</t>
  </si>
  <si>
    <t>UCAR/ABDULLAH</t>
  </si>
  <si>
    <t xml:space="preserve"> AKHMEDOV/NOZIMJON</t>
  </si>
  <si>
    <t>14.03-16.03.</t>
  </si>
  <si>
    <t xml:space="preserve"> KHAYDAROV/IKROM</t>
  </si>
  <si>
    <t>Tas-Nukus-Tas</t>
  </si>
  <si>
    <t>11.03-12.03.</t>
  </si>
  <si>
    <t xml:space="preserve"> OMONOVA/BARNO</t>
  </si>
  <si>
    <t xml:space="preserve">ANVAROV/ABBOSKHON </t>
  </si>
  <si>
    <t>Tas-Urg</t>
  </si>
  <si>
    <t xml:space="preserve">ABDUMUSAEV/BAKHTIYOR </t>
  </si>
  <si>
    <t>KOMSUOGLU/HUSEYIN MR</t>
  </si>
  <si>
    <t>Imamov Muhammadali</t>
  </si>
  <si>
    <t>03.03.2020-14.03.2020</t>
  </si>
  <si>
    <t xml:space="preserve">TURSUNOV/BAKHODIR </t>
  </si>
  <si>
    <t>03.03.2020-06.03.2020</t>
  </si>
  <si>
    <t>03.03.2020-05.03.2020</t>
  </si>
  <si>
    <t xml:space="preserve">CETINTAS/ABDULLAH </t>
  </si>
  <si>
    <t>06.03.2020-14.03.2020</t>
  </si>
  <si>
    <t xml:space="preserve">AKGUC/VURAL </t>
  </si>
  <si>
    <t>PET-MOS-TAS</t>
  </si>
  <si>
    <t xml:space="preserve">AKSOY/ALAETTIN </t>
  </si>
  <si>
    <t>MASHARIPOV/ULUGBEK</t>
  </si>
  <si>
    <t>TAS-MAS-WAR</t>
  </si>
  <si>
    <t>Polsha</t>
  </si>
  <si>
    <t>TAS-MAS</t>
  </si>
  <si>
    <t>MASHARIPOV /ULUGBEK</t>
  </si>
  <si>
    <t>WAR-AMS</t>
  </si>
  <si>
    <t>TURKDONMEZ MEHMET</t>
  </si>
  <si>
    <t xml:space="preserve">ERDOGAN/EREN EMRE </t>
  </si>
  <si>
    <t xml:space="preserve">UNAL/KEREM </t>
  </si>
  <si>
    <t>ISHAK/OMER</t>
  </si>
  <si>
    <t>11.03.2020-13.03.2020</t>
  </si>
  <si>
    <t>SINCAR/HUSEYIN</t>
  </si>
  <si>
    <t>ANK-IST-TAS-IST</t>
  </si>
  <si>
    <t>DURMUS/ALPARSLAN</t>
  </si>
  <si>
    <t>OZKARA/ERDINC</t>
  </si>
  <si>
    <t xml:space="preserve">YUCEL/VIKTORIYA </t>
  </si>
  <si>
    <t>TAS-IST-ORD-IST-TAS</t>
  </si>
  <si>
    <t>03.04.2020-19.03.2020</t>
  </si>
  <si>
    <t>YUCEL/HAKAN</t>
  </si>
  <si>
    <t>03.04.2020-19.04.2020</t>
  </si>
  <si>
    <t xml:space="preserve">YUCEL/NOYAN </t>
  </si>
  <si>
    <t xml:space="preserve">LALE/UMIT </t>
  </si>
  <si>
    <t>13.03.2020-18.03.2020</t>
  </si>
  <si>
    <t xml:space="preserve">LACIN/AKIF </t>
  </si>
  <si>
    <t>ERDIL/MURAT M</t>
  </si>
  <si>
    <t>15.03.2020-17.03.2020</t>
  </si>
  <si>
    <t>KARAKAS AHMET TURAN</t>
  </si>
  <si>
    <t>Tashxodjaev Abdulaziz</t>
  </si>
  <si>
    <t>Uyga qaytish Uchun charter</t>
  </si>
  <si>
    <t>Tas-Ank</t>
  </si>
  <si>
    <t>To'landi</t>
  </si>
  <si>
    <t xml:space="preserve">GURBUS IBRAHIM </t>
  </si>
  <si>
    <t>AKSOY UNAL</t>
  </si>
  <si>
    <t>Jarima</t>
  </si>
  <si>
    <t>ATAC/CEM</t>
  </si>
  <si>
    <t>AYDIN/GUNDUZ</t>
  </si>
  <si>
    <t>DEMIRKAYA/CAVIT</t>
  </si>
  <si>
    <t>DEMIRKAYA/ORHAN</t>
  </si>
  <si>
    <t>ERDIK/CIFATI</t>
  </si>
  <si>
    <t>KATKAY/MESUT</t>
  </si>
  <si>
    <t>KATKAY/ENVER</t>
  </si>
  <si>
    <t>MUZAFFAR /GOKTAS</t>
  </si>
  <si>
    <t>TASKIN/ISA</t>
  </si>
  <si>
    <t>TAYFUN/BODAROGLU</t>
  </si>
  <si>
    <t>UNUVAR/AHMET</t>
  </si>
  <si>
    <t>YAGCI/METTE</t>
  </si>
  <si>
    <t>TURKER/YAMUR</t>
  </si>
  <si>
    <t xml:space="preserve">GUNDUR OZGUR </t>
  </si>
  <si>
    <t xml:space="preserve">Azlarov Azizhodja </t>
  </si>
  <si>
    <t xml:space="preserve">Charter Orqali </t>
  </si>
  <si>
    <t>ASLAN SULTAN</t>
  </si>
  <si>
    <t xml:space="preserve">SEVARA ASLAN </t>
  </si>
  <si>
    <t xml:space="preserve">KALAKNA OZAN </t>
  </si>
  <si>
    <t xml:space="preserve">TUTAR SERT </t>
  </si>
  <si>
    <t>ATALAYEROZKAN SAFIYE</t>
  </si>
  <si>
    <t>CANBAS MURAT ALI</t>
  </si>
  <si>
    <t>Sadikov Sherzod</t>
  </si>
  <si>
    <t>Sardoba qurilish loyihasi uchun</t>
  </si>
  <si>
    <t>YAMUR TURKER</t>
  </si>
  <si>
    <t>AKCAY ALI</t>
  </si>
  <si>
    <t>ZORLU OZGUR</t>
  </si>
  <si>
    <t>ATAS CEM</t>
  </si>
  <si>
    <t>ODUGET MEHMET</t>
  </si>
  <si>
    <t>ZORLU NAZIR</t>
  </si>
  <si>
    <t>GUNER EMRAH</t>
  </si>
  <si>
    <t>SENGUL CANER</t>
  </si>
  <si>
    <t>AYDIN GUNDUZ</t>
  </si>
  <si>
    <t>METE YAGCI</t>
  </si>
  <si>
    <t>YUCEL IHSAN</t>
  </si>
  <si>
    <t>BAYDOGAN GUNAY</t>
  </si>
  <si>
    <t>DEMIRKAYA CAVIT</t>
  </si>
  <si>
    <t>ASLAN MEHMET LUTFI</t>
  </si>
  <si>
    <t>YAPAR ALI</t>
  </si>
  <si>
    <t>GORMUS MIHTAT</t>
  </si>
  <si>
    <t>AKINCI OSMAN</t>
  </si>
  <si>
    <t xml:space="preserve">RIZAEV BAKHROM </t>
  </si>
  <si>
    <t>Tas-Term-Tas</t>
  </si>
  <si>
    <t>10.06-13.06.</t>
  </si>
  <si>
    <t>Tas-Bukh-Navoi-Tas</t>
  </si>
  <si>
    <t xml:space="preserve">HIDOYATOV SHERZOD </t>
  </si>
  <si>
    <t xml:space="preserve">Israilov Abdulaziz </t>
  </si>
  <si>
    <t>Tas-Qar-Tas</t>
  </si>
  <si>
    <t xml:space="preserve">ISRAILOV ABDULAZIZ </t>
  </si>
  <si>
    <t xml:space="preserve">ALATTIN FURKAN </t>
  </si>
  <si>
    <t xml:space="preserve">Israilov Adxam </t>
  </si>
  <si>
    <t xml:space="preserve">Messa Ishchilari </t>
  </si>
  <si>
    <t xml:space="preserve">KUBILAY YILMAZ </t>
  </si>
  <si>
    <t>TOLGAHAN DEMIREL</t>
  </si>
  <si>
    <t xml:space="preserve">OZKAN KILICARSALAN </t>
  </si>
  <si>
    <t xml:space="preserve">Idiev Muhriddin </t>
  </si>
  <si>
    <t>Tas-Term</t>
  </si>
  <si>
    <t xml:space="preserve"> KHIDOYATOV/SHERZOD</t>
  </si>
  <si>
    <t>ISRAILOV/ABDULAZIZ</t>
  </si>
  <si>
    <t>Term-Tas</t>
  </si>
  <si>
    <t>OZKAYA ABDULKERIM</t>
  </si>
  <si>
    <t xml:space="preserve">Abdullaev Jamshid </t>
  </si>
  <si>
    <t xml:space="preserve">Sardoba </t>
  </si>
  <si>
    <t>TURK TAYFUN</t>
  </si>
  <si>
    <t>BOLAT DURSUN</t>
  </si>
  <si>
    <t xml:space="preserve">SAHIN ERDAL </t>
  </si>
  <si>
    <t xml:space="preserve"> DONMEZ MURAT</t>
  </si>
  <si>
    <t>AKIN YAHYA</t>
  </si>
  <si>
    <t>SAYIDOV NAHID</t>
  </si>
  <si>
    <t>Kiev-Ist</t>
  </si>
  <si>
    <t>BOLAT IBRAHIM</t>
  </si>
  <si>
    <t>Tilla Zavod</t>
  </si>
  <si>
    <t>GONUL ERTAN</t>
  </si>
  <si>
    <t>GUNAYDIN ONER İSMAIL</t>
  </si>
  <si>
    <t>Larisa Pavlova</t>
  </si>
  <si>
    <t>OKUMUS GOKHAN</t>
  </si>
  <si>
    <t xml:space="preserve">GETIR LEVENT </t>
  </si>
  <si>
    <t>SAGLAM MESUT</t>
  </si>
  <si>
    <t xml:space="preserve">KAYA VOLKAN </t>
  </si>
  <si>
    <t>YILMAZ CAHIT</t>
  </si>
  <si>
    <t xml:space="preserve">KALYONCUOGLU CIHAT </t>
  </si>
  <si>
    <t xml:space="preserve"> AKCAN SAVAS </t>
  </si>
  <si>
    <t>EKINCI REMZI FATIH</t>
  </si>
  <si>
    <t xml:space="preserve">  BELER GOKHAN</t>
  </si>
  <si>
    <t xml:space="preserve">  DEMIREL MUHAMMET </t>
  </si>
  <si>
    <t xml:space="preserve">  ROJAS MIRANDA MARIA LORETO ALEJANDRA </t>
  </si>
  <si>
    <t xml:space="preserve">  SIMSEK ORHUN </t>
  </si>
  <si>
    <t xml:space="preserve"> YILDIRIM ERDI</t>
  </si>
  <si>
    <t xml:space="preserve">  COLAK ADEM </t>
  </si>
  <si>
    <t xml:space="preserve">EKSI MEHMET NECIP </t>
  </si>
  <si>
    <t>  ERISEN SAVAS</t>
  </si>
  <si>
    <t xml:space="preserve"> ABDULKARIM M. M. ISMAIL (PALESTINA) </t>
  </si>
  <si>
    <t xml:space="preserve"> EKER CENGIZ</t>
  </si>
  <si>
    <t xml:space="preserve">AKSOY YAGIZ SELIM </t>
  </si>
  <si>
    <t xml:space="preserve">ALTINISIK ERSEL </t>
  </si>
  <si>
    <t xml:space="preserve">  CAPANOGLU ERCAN </t>
  </si>
  <si>
    <t xml:space="preserve">  KABIL CENOL </t>
  </si>
  <si>
    <t>  EKER TAYAR</t>
  </si>
  <si>
    <t xml:space="preserve"> ACAR ADEM</t>
  </si>
  <si>
    <t>AKYILDIZ AYKUT</t>
  </si>
  <si>
    <t>Gulchehra Tadjieva</t>
  </si>
  <si>
    <t>CILINGIROGLU ALAATTIN  FURKAN</t>
  </si>
  <si>
    <t>Tuncer Emre</t>
  </si>
  <si>
    <t>Osman Elbahan</t>
  </si>
  <si>
    <t>Tuncer Zeynep</t>
  </si>
  <si>
    <t>Tuncer Erva Ece</t>
  </si>
  <si>
    <t>Tuncer Emir Bera</t>
  </si>
  <si>
    <t>-</t>
  </si>
  <si>
    <t>ERDAL KARATAŞ</t>
  </si>
  <si>
    <t>NURİ PEK</t>
  </si>
  <si>
    <t>ERGİN BELİN</t>
  </si>
  <si>
    <t>NİHAT BELİN</t>
  </si>
  <si>
    <t>SUAT BELİN</t>
  </si>
  <si>
    <t>NAİM BELİN</t>
  </si>
  <si>
    <t>ABDULLAH AVAR</t>
  </si>
  <si>
    <t>KAMURAN AYDIN</t>
  </si>
  <si>
    <t>MÜSLÜM ÇAPAR</t>
  </si>
  <si>
    <t>MEHMET TARAKÇI</t>
  </si>
  <si>
    <t>MUSA AYDAN</t>
  </si>
  <si>
    <t>MAHARREM AYDIN</t>
  </si>
  <si>
    <t>LÜTFİ ÇAPAR</t>
  </si>
  <si>
    <t>MEHMET KAÇİRA</t>
  </si>
  <si>
    <t>NEBİ AKMAN</t>
  </si>
  <si>
    <t>MEHMET ŞİRİN AYDAN</t>
  </si>
  <si>
    <t>ŞERAFETTİN DİNÇER</t>
  </si>
  <si>
    <t>MUSA ARIKEŞ</t>
  </si>
  <si>
    <t>ADEM ACAR</t>
  </si>
  <si>
    <t>MEHMET KARTAL</t>
  </si>
  <si>
    <t>MUSTAFA KABİL</t>
  </si>
  <si>
    <t>MUSTAFA UZUN</t>
  </si>
  <si>
    <t>İLYAS UZUN</t>
  </si>
  <si>
    <t>TURAN YAĞCI</t>
  </si>
  <si>
    <t>RÜSTEM KABİL</t>
  </si>
  <si>
    <t>ADEM KABİL</t>
  </si>
  <si>
    <t>RECEP ALİ KABİL</t>
  </si>
  <si>
    <t>ALİ KEMAL YAĞCI</t>
  </si>
  <si>
    <t>ERDOĞAN ÇİL</t>
  </si>
  <si>
    <t>ŞEREF KABİL</t>
  </si>
  <si>
    <t>KANBER OSMANOĞLU</t>
  </si>
  <si>
    <t>BERAHATTİN AÇAR</t>
  </si>
  <si>
    <t>SÜLEYMAN KÜLEKOĞLU</t>
  </si>
  <si>
    <t>YÜKSEL KABİL</t>
  </si>
  <si>
    <t>Onal Askin</t>
  </si>
  <si>
    <t>MUHAMMET ALI KARAMAHMUT</t>
  </si>
  <si>
    <t>Celik Mehmet Gokhan</t>
  </si>
  <si>
    <t xml:space="preserve">  Ali Okuducu</t>
  </si>
  <si>
    <t xml:space="preserve"> Bahadır Edis</t>
  </si>
  <si>
    <t xml:space="preserve">   Çetintaş Abdullah</t>
  </si>
  <si>
    <t>Abdullayev jamshid</t>
  </si>
  <si>
    <t>Gani Umit</t>
  </si>
  <si>
    <t xml:space="preserve">    Erayhan Aydin</t>
  </si>
  <si>
    <t>Stargate System</t>
  </si>
  <si>
    <t>Erayhan Sinan</t>
  </si>
  <si>
    <t xml:space="preserve">  Kartal Burak</t>
  </si>
  <si>
    <t>Mesa Mesen Sanayii</t>
  </si>
  <si>
    <t>SAYDALIEV AKHMAD</t>
  </si>
  <si>
    <t>AKBARAV ABDUVAKHOB</t>
  </si>
  <si>
    <t>MAKHKAMOV ANVAR</t>
  </si>
  <si>
    <t>RAKHIMOV RAFUKH</t>
  </si>
  <si>
    <t>Havle Burak Berkay</t>
  </si>
  <si>
    <t>Sarvinoz Holdarova</t>
  </si>
  <si>
    <t>Saricioglu Aper Yasin</t>
  </si>
  <si>
    <t xml:space="preserve">  Ornek Ali</t>
  </si>
  <si>
    <t>Orcan Veysel</t>
  </si>
  <si>
    <t>Saidabzal Saidakhmedov</t>
  </si>
  <si>
    <t>Kircili Muhammed Ali</t>
  </si>
  <si>
    <t>Dasdan Tuncay</t>
  </si>
  <si>
    <t>AKBAROV ABDUVOKHID</t>
  </si>
  <si>
    <t>RAKHIMOV FARRUKH</t>
  </si>
  <si>
    <t>FILIZ AKIN</t>
  </si>
  <si>
    <t>Dilrabo Ikramova</t>
  </si>
  <si>
    <t>SURUL MUSTAFA</t>
  </si>
  <si>
    <t>KOC FIRAT</t>
  </si>
  <si>
    <t>ALEMDAR HAMIT</t>
  </si>
  <si>
    <t>Ersen Mukremin</t>
  </si>
  <si>
    <t>DEMIR TURGUT</t>
  </si>
  <si>
    <t>AKYAR SUAT</t>
  </si>
  <si>
    <t>AKYAR YETER</t>
  </si>
  <si>
    <t>KAYA AHMET YASIR</t>
  </si>
  <si>
    <t>KIRAT MEHMET</t>
  </si>
  <si>
    <t>ORNEK ALI</t>
  </si>
  <si>
    <t>Holdarova Sarvinoz</t>
  </si>
  <si>
    <t>SARICIOGLU ALPER YASIN</t>
  </si>
  <si>
    <t>HAVLE BURAK BERKAY</t>
  </si>
  <si>
    <t>CETINTURK EKREM</t>
  </si>
  <si>
    <t>YESILYURT FATIH</t>
  </si>
  <si>
    <t>Prechesleniya</t>
  </si>
  <si>
    <t>Preches-OK</t>
  </si>
  <si>
    <t>Mimar Group</t>
  </si>
  <si>
    <t>Akbayir Story</t>
  </si>
  <si>
    <t>Hidoyatov Jamshid</t>
  </si>
  <si>
    <t xml:space="preserve"> OZCAN CEMAL</t>
  </si>
  <si>
    <t>Satilmish Akbayir</t>
  </si>
  <si>
    <t>Ishlashga Lot 1</t>
  </si>
  <si>
    <t xml:space="preserve"> UZUN OZER</t>
  </si>
  <si>
    <t xml:space="preserve">  KURNAZ SAVAS</t>
  </si>
  <si>
    <t xml:space="preserve">  KELES MEHMET FATIH</t>
  </si>
  <si>
    <t>OZCAN ARCAN</t>
  </si>
  <si>
    <t xml:space="preserve"> OZACAR MUJDAT</t>
  </si>
  <si>
    <t>OZCAN SAHIN ATILLA</t>
  </si>
  <si>
    <t xml:space="preserve">   UGURLU TURGUT</t>
  </si>
  <si>
    <t>Sataev Bahtiyor</t>
  </si>
  <si>
    <t xml:space="preserve">Discover  Invest </t>
  </si>
  <si>
    <t xml:space="preserve">    KANARYA FURKAN</t>
  </si>
  <si>
    <t xml:space="preserve">  SEYHAN CEMAL</t>
  </si>
  <si>
    <t xml:space="preserve">Ishchilar </t>
  </si>
  <si>
    <t>KURU YIGIT BUGRA</t>
  </si>
  <si>
    <t>ERDEMBOY SELMA</t>
  </si>
  <si>
    <t xml:space="preserve">Elbahan Osman </t>
  </si>
  <si>
    <t xml:space="preserve">Oila Azosi </t>
  </si>
  <si>
    <t xml:space="preserve">BOR UFUK </t>
  </si>
  <si>
    <t xml:space="preserve">Mahmudov Fahriddin </t>
  </si>
  <si>
    <t xml:space="preserve">Ishlashga </t>
  </si>
  <si>
    <t>ELTURK MARVAN</t>
  </si>
  <si>
    <t>KHALMUKHAMEDOV/AKMAL</t>
  </si>
  <si>
    <t>Sayidov Umid</t>
  </si>
  <si>
    <t>Tas-Urg-Tas</t>
  </si>
  <si>
    <t>17.08.-19.08.</t>
  </si>
  <si>
    <t>HORMIGA SANCHEZ FANNY</t>
  </si>
  <si>
    <t>Ishlashga</t>
  </si>
  <si>
    <t>Gonkong-Ist</t>
  </si>
  <si>
    <t>COSKUN OZKOCAN</t>
  </si>
  <si>
    <t xml:space="preserve"> Umarova Nargiza </t>
  </si>
  <si>
    <t xml:space="preserve">DICKASON HENDRIKA </t>
  </si>
  <si>
    <t>CAODURO PAOLA</t>
  </si>
  <si>
    <t>BACCHI ENZO</t>
  </si>
  <si>
    <t>NİZAMETTİN SONGÜRCU</t>
  </si>
  <si>
    <t>ATİLLA DİNÇADAM</t>
  </si>
  <si>
    <t>CÜNEYT ÖZLEN</t>
  </si>
  <si>
    <t>FATİH BEDİZ</t>
  </si>
  <si>
    <t xml:space="preserve">MEHMET  SIDDIK ALAN </t>
  </si>
  <si>
    <t>ŞÜKRAN GEÇER</t>
  </si>
  <si>
    <t>REŞİT ASLAN</t>
  </si>
  <si>
    <t>YUNUS ÇELİK</t>
  </si>
  <si>
    <t xml:space="preserve">NİZAMETTİN ATABEY </t>
  </si>
  <si>
    <t>KENAN ERZENGİN</t>
  </si>
  <si>
    <t>AYSEL SELÇUK</t>
  </si>
  <si>
    <t>BAHİYETTİN SÖYLEMEZ</t>
  </si>
  <si>
    <t xml:space="preserve">CÜNEYT  SONGÜRCU </t>
  </si>
  <si>
    <t>YUSUF SONGÜRCU</t>
  </si>
  <si>
    <t>OKAN SONGÜRCU</t>
  </si>
  <si>
    <t>İBRAHİM SONGÜRCU</t>
  </si>
  <si>
    <t>KUTBETTİN SONGÜRCU</t>
  </si>
  <si>
    <t>MEHMET SALİH YAĞŞİ</t>
  </si>
  <si>
    <t>Murat Taşkurt</t>
  </si>
  <si>
    <t>Mehmet Garip Erbek</t>
  </si>
  <si>
    <t>YUNUS ÜSTÜN</t>
  </si>
  <si>
    <t>HASAN KAPLAN</t>
  </si>
  <si>
    <t>ARİF ASLAN</t>
  </si>
  <si>
    <t>ABİDİN DİNCER</t>
  </si>
  <si>
    <t>GÖKHAN DİNCER</t>
  </si>
  <si>
    <t>ZEKİ DİNCER</t>
  </si>
  <si>
    <t>TACDİN HAN</t>
  </si>
  <si>
    <t>SEFER DEMİR</t>
  </si>
  <si>
    <t>EYUP DEMİR</t>
  </si>
  <si>
    <t>ÖZGÜN YILMAZ</t>
  </si>
  <si>
    <t>HAYDAR SALTIK</t>
  </si>
  <si>
    <t>AZER DAŞTAN</t>
  </si>
  <si>
    <t>MEHDİ DAŞTAN</t>
  </si>
  <si>
    <t>MEHMET ERDAĞI</t>
  </si>
  <si>
    <t>POLAT SALTIK</t>
  </si>
  <si>
    <t>ASLAN SALTIK</t>
  </si>
  <si>
    <t>BESTAN DAYAN</t>
  </si>
  <si>
    <t>LOKMAN KILIÇ</t>
  </si>
  <si>
    <t>ERGİN KAYA</t>
  </si>
  <si>
    <t>KENAN SALTIK</t>
  </si>
  <si>
    <t>CENGİZ SALTIK</t>
  </si>
  <si>
    <t>ESER DAYAN</t>
  </si>
  <si>
    <t>KAHRAMAN KAYSİ</t>
  </si>
  <si>
    <t>EMIN YARDIM</t>
  </si>
  <si>
    <t>SABRI YARDIM</t>
  </si>
  <si>
    <t>CAFER DAYAN</t>
  </si>
  <si>
    <t>MERMI SERDAR</t>
  </si>
  <si>
    <t>AKKOYUN FATIH</t>
  </si>
  <si>
    <t>TOPCU BULENT</t>
  </si>
  <si>
    <t>KADIR OZDEMIR</t>
  </si>
  <si>
    <t xml:space="preserve">Sataev Bahtiyor </t>
  </si>
  <si>
    <t>DEDEOGLU MEHMET</t>
  </si>
  <si>
    <t>KARAASLAN  ENES DUHAN</t>
  </si>
  <si>
    <t>EMEL TELAY</t>
  </si>
  <si>
    <t>ERGUNEY ILHAN</t>
  </si>
  <si>
    <t xml:space="preserve">AZAKLI FATIH </t>
  </si>
  <si>
    <t>SENEL MEHMEM SALIH</t>
  </si>
  <si>
    <t>SARI ABUZER</t>
  </si>
  <si>
    <t>MACORO ENGIN NISSO</t>
  </si>
  <si>
    <t>YILDIZ  ERDEM</t>
  </si>
  <si>
    <t>GANAGIN VLADIMIR</t>
  </si>
  <si>
    <t xml:space="preserve">Mos-Tas </t>
  </si>
  <si>
    <t>KOMURCU MEHMET CETIN/BIZNES KLAS</t>
  </si>
  <si>
    <t>KERIM CINAR</t>
  </si>
  <si>
    <t xml:space="preserve">Muskaeva Daniya </t>
  </si>
  <si>
    <t>YAVUZ OZGAN</t>
  </si>
  <si>
    <t>ERDAL GUNEZ</t>
  </si>
  <si>
    <t>PEIXER SIGWALT ISIS</t>
  </si>
  <si>
    <t>CLAUSEN SIGWALT RICARDO</t>
  </si>
  <si>
    <t>PEIXER SIGWALT CLARA</t>
  </si>
  <si>
    <t>ROMANOV ALISHER</t>
  </si>
  <si>
    <t>OMONOVA BARNO</t>
  </si>
  <si>
    <t>SOLIKHOV BEKZOD</t>
  </si>
  <si>
    <t>OLIANTI DAVID</t>
  </si>
  <si>
    <t>RASULOV DILMUROD</t>
  </si>
  <si>
    <t>ATAMUKHAMEDOV SHAVKAT</t>
  </si>
  <si>
    <t>YUCEL OMER ERHAN</t>
  </si>
  <si>
    <t>KAVAK ILKER</t>
  </si>
  <si>
    <t>KAYA AYDIN</t>
  </si>
  <si>
    <t>SENEL MEHMET SALIH</t>
  </si>
  <si>
    <t>MOCORO ENGIN NISSO</t>
  </si>
  <si>
    <t>BOR UFUK</t>
  </si>
  <si>
    <t>EMEL TELAT</t>
  </si>
  <si>
    <t>SALAP ERCAN</t>
  </si>
  <si>
    <t>Power Consturction Planet</t>
  </si>
  <si>
    <t>Durable Group</t>
  </si>
  <si>
    <t>Invento</t>
  </si>
  <si>
    <t>Technopark</t>
  </si>
  <si>
    <t>TURKAY ISMAIL</t>
  </si>
  <si>
    <t>O`zbekiston</t>
  </si>
  <si>
    <t>JD-Afrosiyob</t>
  </si>
  <si>
    <t>ITIBAR MUSTAFADENIZ</t>
  </si>
  <si>
    <t>UZUCEK ERGUN</t>
  </si>
  <si>
    <t>Ankara-Istanbul</t>
  </si>
  <si>
    <t>SEZER HAKAN</t>
  </si>
  <si>
    <t>Ersoz Serdar</t>
  </si>
  <si>
    <t>Farruh Raimov</t>
  </si>
  <si>
    <t>Mustafa Bulent</t>
  </si>
  <si>
    <t>ERSOZ SERDAR</t>
  </si>
  <si>
    <t>MUSTAFA BYULENT SADZHIT</t>
  </si>
  <si>
    <t xml:space="preserve">SARSEMBAYEV/AZAMAT </t>
  </si>
  <si>
    <t>Ala-Tas-Tas</t>
  </si>
  <si>
    <t>24.09.20-01.10.20</t>
  </si>
  <si>
    <t>KC</t>
  </si>
  <si>
    <t>FARUK DOGAN</t>
  </si>
  <si>
    <t>MUSTAFA DUDUKCU</t>
  </si>
  <si>
    <t>METEHAN KURT</t>
  </si>
  <si>
    <t>FATIH KANBUR</t>
  </si>
  <si>
    <t>GOKHAN ALPER</t>
  </si>
  <si>
    <t>NURETTİN KAYA</t>
  </si>
  <si>
    <t>IHSAN YAGCI</t>
  </si>
  <si>
    <t>FATIH YAGCI</t>
  </si>
  <si>
    <t>ALI YAGCI</t>
  </si>
  <si>
    <t>ALI CIL</t>
  </si>
  <si>
    <t>RAMAZAN YAGCI</t>
  </si>
  <si>
    <t>MUSTAFA KOS</t>
  </si>
  <si>
    <t xml:space="preserve">FARUK MUSTA </t>
  </si>
  <si>
    <t>ADBULREZZAK MUSTA</t>
  </si>
  <si>
    <t>VEYSEL MUSTA</t>
  </si>
  <si>
    <t>VOLKAN YALCINKAYA</t>
  </si>
  <si>
    <t>ERKAN AYDAN</t>
  </si>
  <si>
    <t>UGUR YETKAS</t>
  </si>
  <si>
    <t>OMER OYMAN</t>
  </si>
  <si>
    <t>YEMEN KACIRA</t>
  </si>
  <si>
    <t>NACI BILGE</t>
  </si>
  <si>
    <t>MUHAMMED FURKAN AVAR</t>
  </si>
  <si>
    <t>EMRAH SEKER</t>
  </si>
  <si>
    <t>EMRE ELMAS</t>
  </si>
  <si>
    <t>NIZAMETTIN KOCAK</t>
  </si>
  <si>
    <t>MEVLUT DARGIN</t>
  </si>
  <si>
    <t>EMRAH AYDAN</t>
  </si>
  <si>
    <t>DEMIREL TOLGAHAN</t>
  </si>
  <si>
    <t>MERZOUGUI SIRINE</t>
  </si>
  <si>
    <t>AYDOGDU ALPER</t>
  </si>
  <si>
    <t xml:space="preserve">AKYURT MUSTAFA </t>
  </si>
  <si>
    <t>ISIK HANIFI</t>
  </si>
  <si>
    <t>Ist-Ankara</t>
  </si>
  <si>
    <t>KARIEV ISKANDAR</t>
  </si>
  <si>
    <t>SHARIPOV ULUGBEK</t>
  </si>
  <si>
    <t>ARIFOV ABROR</t>
  </si>
  <si>
    <t xml:space="preserve"> KOKSAL ONUR</t>
  </si>
  <si>
    <t>CIVILIDAG EBRU</t>
  </si>
  <si>
    <t>OZDEMIR ILHAN</t>
  </si>
  <si>
    <t>04.10.20-08.10.20</t>
  </si>
  <si>
    <t>ОDILОV DАVRОNВЕК ULUGВЕКОGLI</t>
  </si>
  <si>
    <t>Korahodjaev Bahtiyor</t>
  </si>
  <si>
    <t>Tas-Bukh-Tas</t>
  </si>
  <si>
    <t xml:space="preserve">LIРМАN АLЕХ </t>
  </si>
  <si>
    <t>GОRDIN АLЕХАNDЕRМIСНАЕL</t>
  </si>
  <si>
    <t>АNYАZОV АLIJОN NАRIМВАYЕVIСН</t>
  </si>
  <si>
    <t>DOGAN ENSER</t>
  </si>
  <si>
    <t>ATALAY EROZKAN</t>
  </si>
  <si>
    <t>GUNDAY CEM</t>
  </si>
  <si>
    <t>Antalya-Tas</t>
  </si>
  <si>
    <t>AKYUZ EMRE</t>
  </si>
  <si>
    <t>KUZUCU/HASAN</t>
  </si>
  <si>
    <t>OZTURK/ERSIM</t>
  </si>
  <si>
    <t>Ankara-Ist-Tas</t>
  </si>
  <si>
    <t>KIZILASLAN/SELIM</t>
  </si>
  <si>
    <t>TIGLI/FARUK</t>
  </si>
  <si>
    <t>OZDEMIR/ABDULCELIL</t>
  </si>
  <si>
    <t>EFE/AHMET EMIN</t>
  </si>
  <si>
    <t>METIN/HAKAN</t>
  </si>
  <si>
    <t>EMRE/MERT</t>
  </si>
  <si>
    <t>CALISKANTURK/BAHADIR</t>
  </si>
  <si>
    <t xml:space="preserve"> CALISKANTURK/BAHADIR</t>
  </si>
  <si>
    <t>SAGLAM/SEMRA</t>
  </si>
  <si>
    <t>OZASLAN MUSTAFA FEDAI</t>
  </si>
  <si>
    <t>Manzarali Gullar va Daraxtlar</t>
  </si>
  <si>
    <t>ATES/AHMET</t>
  </si>
  <si>
    <t>Tas-Ist-Ankara-Ist-Tas</t>
  </si>
  <si>
    <t>4.10-11.10</t>
  </si>
  <si>
    <t xml:space="preserve">GORDIN ALEXANDER MICHAEL </t>
  </si>
  <si>
    <t>Alimuhamedov Alijon</t>
  </si>
  <si>
    <t>New-Ist-Tas-Ist-New</t>
  </si>
  <si>
    <t>08.09-14.09</t>
  </si>
  <si>
    <t>LIPMAN ALEX</t>
  </si>
  <si>
    <t xml:space="preserve">STASINOU, ELENI </t>
  </si>
  <si>
    <t xml:space="preserve">Afina-Ist </t>
  </si>
  <si>
    <t xml:space="preserve">Jarima </t>
  </si>
  <si>
    <t>Ist-Ala-Tas</t>
  </si>
  <si>
    <t xml:space="preserve">BLIZNYUK/IGOR </t>
  </si>
  <si>
    <t>Suv Proekt</t>
  </si>
  <si>
    <t>Usanov Maruf</t>
  </si>
  <si>
    <t>Shim-Tas</t>
  </si>
  <si>
    <t>Ala-Tas</t>
  </si>
  <si>
    <t xml:space="preserve">DOMKE/PETER KLAUS </t>
  </si>
  <si>
    <t>Tas-Ist-Fran</t>
  </si>
  <si>
    <t>Fran-Tas</t>
  </si>
  <si>
    <t>Salih  Mehmet Senel</t>
  </si>
  <si>
    <t>Ist-Sam-Tas</t>
  </si>
  <si>
    <t>ENGIN MACORO</t>
  </si>
  <si>
    <t>BERRAK MACORO</t>
  </si>
  <si>
    <t xml:space="preserve">ARIEL MACORO </t>
  </si>
  <si>
    <t>MAYA MACORO</t>
  </si>
  <si>
    <t>OKAN OZTUNA</t>
  </si>
  <si>
    <t>KUBRA OZTUNA</t>
  </si>
  <si>
    <t>ELIN MINE OZTUNA</t>
  </si>
  <si>
    <t>TAYFUN KURSAT ODABAS</t>
  </si>
  <si>
    <t>OZGE ODABAS</t>
  </si>
  <si>
    <t>YASIN GUMUS</t>
  </si>
  <si>
    <t>GULER GUMUS</t>
  </si>
  <si>
    <t>TUANA REYHAN GUMUS</t>
  </si>
  <si>
    <t>AKIF SELIM GUMUS</t>
  </si>
  <si>
    <t>SALIH TUNA GUMUS</t>
  </si>
  <si>
    <t>MEHMET KESKIN</t>
  </si>
  <si>
    <t>MERYEM KESKIN</t>
  </si>
  <si>
    <t>AZIZ OZKAN</t>
  </si>
  <si>
    <t>ORHAN KORKMAZ</t>
  </si>
  <si>
    <t>SEZER TURKMEN</t>
  </si>
  <si>
    <t>AKIN  HAKKI TUNCA</t>
  </si>
  <si>
    <t>OMER FARUK YASA</t>
  </si>
  <si>
    <t>YILMAZ KURTUNCU</t>
  </si>
  <si>
    <t>ELMAS SEYHAN</t>
  </si>
  <si>
    <t>MERVE ULUDAG</t>
  </si>
  <si>
    <t>Tas-New</t>
  </si>
  <si>
    <t>Tas-Buh-Tas</t>
  </si>
  <si>
    <t xml:space="preserve">STASINOU  ELENI </t>
  </si>
  <si>
    <t>Usmonov Zayniddin</t>
  </si>
  <si>
    <t>18.09-25.09</t>
  </si>
  <si>
    <t xml:space="preserve">URMANOV/KHURSHID </t>
  </si>
  <si>
    <t>YARDIMCI SEDAT</t>
  </si>
  <si>
    <t>Sobirov Nodirhon</t>
  </si>
  <si>
    <t>04.10-24.10</t>
  </si>
  <si>
    <t xml:space="preserve">GOKCE/ONUR </t>
  </si>
  <si>
    <t xml:space="preserve">Erkinov Javokhir </t>
  </si>
  <si>
    <t xml:space="preserve">Ishlashaga </t>
  </si>
  <si>
    <t>GUNGOR/LEVENT</t>
  </si>
  <si>
    <t>Usmonjonov Farruh</t>
  </si>
  <si>
    <t>TEKIN/OKAN</t>
  </si>
  <si>
    <t xml:space="preserve">OZER/EMRAH </t>
  </si>
  <si>
    <t>KOSE/YUCEL</t>
  </si>
  <si>
    <t xml:space="preserve">DOGAN/YILMAZ </t>
  </si>
  <si>
    <t>AZAKLI/FATIH</t>
  </si>
  <si>
    <t xml:space="preserve">TIMUCIN/TAMER </t>
  </si>
  <si>
    <t>EROL MEHMET ALI</t>
  </si>
  <si>
    <t>Alimov Aziz</t>
  </si>
  <si>
    <t xml:space="preserve">KADER MURAT </t>
  </si>
  <si>
    <t>23.09-27.09.</t>
  </si>
  <si>
    <t>CAKIR/CAGATAY</t>
  </si>
  <si>
    <t>KARAY/SERCAN</t>
  </si>
  <si>
    <t xml:space="preserve">SOYSAL MUSTAFA </t>
  </si>
  <si>
    <t>YILDIZ ISMAIL</t>
  </si>
  <si>
    <t>KAVAK ILKER</t>
  </si>
  <si>
    <t>AZAKLI FATIH</t>
  </si>
  <si>
    <t xml:space="preserve">MERVE ULUDAG </t>
  </si>
  <si>
    <t xml:space="preserve">KAVAK ILKER </t>
  </si>
  <si>
    <t xml:space="preserve">KARAGENC ATA </t>
  </si>
  <si>
    <t xml:space="preserve">KARAGENC NARA </t>
  </si>
  <si>
    <t xml:space="preserve">KARAGENC BORA </t>
  </si>
  <si>
    <t xml:space="preserve">SOYSALAN/ERDINC </t>
  </si>
  <si>
    <t xml:space="preserve">GURDAL/ALI </t>
  </si>
  <si>
    <t xml:space="preserve">USMONOV ZAYNIDDIN </t>
  </si>
  <si>
    <t>Dubai-Tas</t>
  </si>
  <si>
    <t xml:space="preserve"> INCE ARSLAN </t>
  </si>
  <si>
    <t xml:space="preserve"> CAKMAK MUSTAFA </t>
  </si>
  <si>
    <t xml:space="preserve"> ISLAMOGLU VEDET </t>
  </si>
  <si>
    <t xml:space="preserve">TUMAY KOKSAL </t>
  </si>
  <si>
    <t>YAPAR  MUSTAFA</t>
  </si>
  <si>
    <t>KANDEMIR MERT</t>
  </si>
  <si>
    <t>Saidalihodjaev Burhon</t>
  </si>
  <si>
    <t xml:space="preserve">Uyga qaytish Uchun </t>
  </si>
  <si>
    <t xml:space="preserve"> AYGUN/FATIH</t>
  </si>
  <si>
    <t>KARADENIZ/ATILLA</t>
  </si>
  <si>
    <t xml:space="preserve"> SENEL/LUTFIYE EBRU</t>
  </si>
  <si>
    <t>SENEL/MEHMET SALIH</t>
  </si>
  <si>
    <t>02.10-18.10</t>
  </si>
  <si>
    <t>KTITOROV/ALEKSEI</t>
  </si>
  <si>
    <t>Golikova Tatyana</t>
  </si>
  <si>
    <t xml:space="preserve"> PEKER FAIK </t>
  </si>
  <si>
    <t>Davronov Feruzbek</t>
  </si>
  <si>
    <t>AYANA MERVE</t>
  </si>
  <si>
    <t xml:space="preserve">ESITGEN MUSTAFA </t>
  </si>
  <si>
    <t xml:space="preserve"> DALDAL TURAN </t>
  </si>
  <si>
    <t xml:space="preserve"> GENC MUSTAFA </t>
  </si>
  <si>
    <t>GONUL  ERTAN</t>
  </si>
  <si>
    <t xml:space="preserve">SENGUL/CANER </t>
  </si>
  <si>
    <t xml:space="preserve">Azamatov Moqsud </t>
  </si>
  <si>
    <t xml:space="preserve">SAHIN/ERDAL </t>
  </si>
  <si>
    <t xml:space="preserve"> GORMUS/MIHTAT </t>
  </si>
  <si>
    <t xml:space="preserve">AKIN/YAHYA </t>
  </si>
  <si>
    <t xml:space="preserve">CANBAS/MURAT ALI </t>
  </si>
  <si>
    <t xml:space="preserve">DONMEZ/MURAT </t>
  </si>
  <si>
    <t>AGIL/SABRI OZGUR</t>
  </si>
  <si>
    <t xml:space="preserve">YILDIRIM/OZAN </t>
  </si>
  <si>
    <t xml:space="preserve">CELIK/MURAT </t>
  </si>
  <si>
    <t xml:space="preserve"> KARAY/SERCAN</t>
  </si>
  <si>
    <t>GENC MUSTAFA</t>
  </si>
  <si>
    <t xml:space="preserve">Uyga Qaytish Uchun </t>
  </si>
  <si>
    <t xml:space="preserve">Tas-Ist </t>
  </si>
  <si>
    <t>SAMARIDDIN SHAMSIEV</t>
  </si>
  <si>
    <t>SHOHRUH RUZIKULOV</t>
  </si>
  <si>
    <t>ALIJON ANYAZOV</t>
  </si>
  <si>
    <t>ABDUJAVLON MUKHAMEDJANOV</t>
  </si>
  <si>
    <t>BAKHODIR ABDULLAEV</t>
  </si>
  <si>
    <t>AZIZBEK KURBONOV</t>
  </si>
  <si>
    <t>Cip Oplata</t>
  </si>
  <si>
    <t>HORMIGASANCHEZ/FANNYMARCELAM</t>
  </si>
  <si>
    <t xml:space="preserve">USTAOGLU/ILHAMI </t>
  </si>
  <si>
    <t>Ibrohimov Inomjon</t>
  </si>
  <si>
    <t>CONTRERASJIMENEZ  DAYANA PAOLA</t>
  </si>
  <si>
    <t>Baku-Ist-Tas</t>
  </si>
  <si>
    <t>GURAN KEMAL</t>
  </si>
  <si>
    <t xml:space="preserve">Rizaev Bakhrom </t>
  </si>
  <si>
    <t>15.10-19.10</t>
  </si>
  <si>
    <t>BOZAN IBRAHIM</t>
  </si>
  <si>
    <t>IYIGUN UMUT</t>
  </si>
  <si>
    <t xml:space="preserve"> Narbaev Oruzbek</t>
  </si>
  <si>
    <t>11.09-19.10</t>
  </si>
  <si>
    <t>MANTEIGAS DOS SANTOS RATO DAVID</t>
  </si>
  <si>
    <t>EMEL TELAT</t>
  </si>
  <si>
    <t>14.10-17.10</t>
  </si>
  <si>
    <t xml:space="preserve"> KARAKAYA/MUSTAFA</t>
  </si>
  <si>
    <t xml:space="preserve"> AZAKLI/FATIH</t>
  </si>
  <si>
    <t>22.10-05.11.</t>
  </si>
  <si>
    <t>SARI/ABUZER</t>
  </si>
  <si>
    <t>02.11-05.11.</t>
  </si>
  <si>
    <t>KAVAK/ILKER</t>
  </si>
  <si>
    <t xml:space="preserve">ERGUNEY/ILHAN </t>
  </si>
  <si>
    <t xml:space="preserve">CETIN/SERKAN </t>
  </si>
  <si>
    <t>MEMLUK/MURAT ZUBEYIR</t>
  </si>
  <si>
    <t xml:space="preserve">Saydaliev Fahriddin </t>
  </si>
  <si>
    <t>Seul Moon Proekt</t>
  </si>
  <si>
    <t xml:space="preserve"> KADER/MURAT</t>
  </si>
  <si>
    <t xml:space="preserve">PULICKAKUDIYIL VARGHESE PAULOSE </t>
  </si>
  <si>
    <t xml:space="preserve">AHMED SIRAJ </t>
  </si>
  <si>
    <t>ANYAZOV ALIJON</t>
  </si>
  <si>
    <t>RUZIKULOV SHOHRUH</t>
  </si>
  <si>
    <t>SHAMSIYEV SAMARIDDIN</t>
  </si>
  <si>
    <t xml:space="preserve">Bizness Klass Povisheniya </t>
  </si>
  <si>
    <t>MUKHAMMEDJANOV ABDUJAVLON</t>
  </si>
  <si>
    <t>YASLI NADIR</t>
  </si>
  <si>
    <t>Akilhanov Farruh</t>
  </si>
  <si>
    <t>19.10-29.10</t>
  </si>
  <si>
    <t>ILCI/MUSLUM</t>
  </si>
  <si>
    <t xml:space="preserve"> COLAKOGLU/IBRAHIM HAKKI </t>
  </si>
  <si>
    <t>ZORLU/ETHEM</t>
  </si>
  <si>
    <t>Uyga Qaytsh Uchun</t>
  </si>
  <si>
    <t xml:space="preserve"> YUCEL/IHSAN</t>
  </si>
  <si>
    <t>ODUGET/MEHMET</t>
  </si>
  <si>
    <t xml:space="preserve"> ATAS/CEM</t>
  </si>
  <si>
    <t>ASLAN/MEHMET LUTFI</t>
  </si>
  <si>
    <t>19.10-23.10</t>
  </si>
  <si>
    <t>SOLIKHOV/BEKZOD</t>
  </si>
  <si>
    <t xml:space="preserve">RAKHIMOV/SOBIT </t>
  </si>
  <si>
    <t>ONAY/ERTUG</t>
  </si>
  <si>
    <t>27.10-03.11.</t>
  </si>
  <si>
    <t xml:space="preserve"> AKTAYA/SELIME</t>
  </si>
  <si>
    <t>25.10-08.11.</t>
  </si>
  <si>
    <t>AKTAYA/OZAN</t>
  </si>
  <si>
    <t>AKTAYA/DENIZ</t>
  </si>
  <si>
    <t xml:space="preserve"> OREN/TULAY</t>
  </si>
  <si>
    <t>YILMAZ/SEMIH</t>
  </si>
  <si>
    <t>30.10-15.11.</t>
  </si>
  <si>
    <t>UZAL/MURAT</t>
  </si>
  <si>
    <t xml:space="preserve">SEN/ERHAN </t>
  </si>
  <si>
    <t>05.11.-20.11.</t>
  </si>
  <si>
    <t xml:space="preserve">SHMAKOVA/TATIANA </t>
  </si>
  <si>
    <t xml:space="preserve">Umarova Nargiza </t>
  </si>
  <si>
    <t xml:space="preserve">Oilasi Oldiga </t>
  </si>
  <si>
    <t>CODINA ZUGASTI/PEDRO JOSE</t>
  </si>
  <si>
    <t>Jamshid</t>
  </si>
  <si>
    <t>Malaga-Ist-Tas</t>
  </si>
  <si>
    <t xml:space="preserve">ORSEL/HUSEYIN </t>
  </si>
  <si>
    <t xml:space="preserve">Turamanov Aladin </t>
  </si>
  <si>
    <t xml:space="preserve"> BAGALSUN/YUSUF</t>
  </si>
  <si>
    <t>BADALOV JASUR</t>
  </si>
  <si>
    <t xml:space="preserve">Badalov Jasur </t>
  </si>
  <si>
    <t xml:space="preserve">Tas-Ist-Kiev </t>
  </si>
  <si>
    <t xml:space="preserve">SHORUSTAMOV KOZIM </t>
  </si>
  <si>
    <t>ABDULLAEV/BAKHODIR</t>
  </si>
  <si>
    <t xml:space="preserve">RUZMETOV/DILSHOD </t>
  </si>
  <si>
    <t xml:space="preserve">Ochiq Bilet </t>
  </si>
  <si>
    <t>OZASLAN MUSTAFA FEDAI</t>
  </si>
  <si>
    <t xml:space="preserve">AYGUN/MEHTAP </t>
  </si>
  <si>
    <t xml:space="preserve">SENEL/MEHMET SALIH </t>
  </si>
  <si>
    <t xml:space="preserve">AYGUN/ALI EMRE </t>
  </si>
  <si>
    <t>RIZAEV/BAKHRAM</t>
  </si>
  <si>
    <t xml:space="preserve">Rizaev Bahrom </t>
  </si>
  <si>
    <t>04.11-07.11</t>
  </si>
  <si>
    <t xml:space="preserve"> IBRAHIMOV/INOMJON</t>
  </si>
  <si>
    <t xml:space="preserve">RUZIKULOV/SHOHRUH </t>
  </si>
  <si>
    <t xml:space="preserve"> KURBONOV/AZIZBEK</t>
  </si>
  <si>
    <t xml:space="preserve">IBRAGIMOV/NODIRBEK </t>
  </si>
  <si>
    <t>Minsk-Tas</t>
  </si>
  <si>
    <t xml:space="preserve">RUZIKULOV SHOHRUH </t>
  </si>
  <si>
    <t xml:space="preserve">RUZIKULOV  SHOHRUH </t>
  </si>
  <si>
    <t>ARIVOF ABROR</t>
  </si>
  <si>
    <t>ISMATULLAEV DONIYOR</t>
  </si>
  <si>
    <t>KODIROV AZIZBEK</t>
  </si>
  <si>
    <t xml:space="preserve">SARICIOGLU ALPERYASIN </t>
  </si>
  <si>
    <t>UNAL OKANILKEM</t>
  </si>
  <si>
    <t>YUCEL NECATFEHMI</t>
  </si>
  <si>
    <t>HAVLE BURAKBERKAY</t>
  </si>
  <si>
    <t xml:space="preserve">UMAROV/ZIYOVUTDIN </t>
  </si>
  <si>
    <t xml:space="preserve">MAKHKAMOV/ANVAR </t>
  </si>
  <si>
    <t xml:space="preserve">FAYZULLAEV/MURODJON </t>
  </si>
  <si>
    <t xml:space="preserve">RAKHIMOV/FARRUKH </t>
  </si>
  <si>
    <t>Tas-Ugc-Nukus-Tas</t>
  </si>
  <si>
    <t xml:space="preserve"> ASLAN/HAKAN</t>
  </si>
  <si>
    <t>Tas-Ist-Adana-Ist-Tas</t>
  </si>
  <si>
    <t>ATALAY EROZKAN/SAFIYE</t>
  </si>
  <si>
    <t>Hakimov Jamshid</t>
  </si>
  <si>
    <t>BAHCECI/NEZAHAT DENIZ</t>
  </si>
  <si>
    <t>BAKLACI/EMRE</t>
  </si>
  <si>
    <t>DERVISOGLU/UNAL</t>
  </si>
  <si>
    <t>UMUT/MURAT</t>
  </si>
  <si>
    <t>AZDER/HALIK NADIR</t>
  </si>
  <si>
    <t>KHAKIMOV/DJAMSHID</t>
  </si>
  <si>
    <t>Ubaydullaev Shakhzod</t>
  </si>
  <si>
    <t>UBAYDULLAEV/SHAKHZOD</t>
  </si>
  <si>
    <t>YESIL TURGAY</t>
  </si>
  <si>
    <t>YASAR/CANBERK</t>
  </si>
  <si>
    <t>​​​​​​​Fidan Ozgur</t>
  </si>
  <si>
    <t>YESIL/TURGAY</t>
  </si>
  <si>
    <t>OVEZ/YUKSEL</t>
  </si>
  <si>
    <t>Abdullaev Jamshid</t>
  </si>
  <si>
    <t xml:space="preserve">GENC MUSTAFA </t>
  </si>
  <si>
    <t>Mirzayev Mansur</t>
  </si>
  <si>
    <t>KIRCILI/ALI</t>
  </si>
  <si>
    <t xml:space="preserve">KURUBAL/CEM </t>
  </si>
  <si>
    <t>BOZKURT, SONAY</t>
  </si>
  <si>
    <t>BOZKURT, ASYA LIYA</t>
  </si>
  <si>
    <t>BOZKURT ALI NUSRET</t>
  </si>
  <si>
    <t>YILDIRIM/FUAT</t>
  </si>
  <si>
    <t>BASTAS, ANIBAL</t>
  </si>
  <si>
    <t>Tas-Ist-Ankara</t>
  </si>
  <si>
    <t>KHAKIMOVA, FERUZAKHON</t>
  </si>
  <si>
    <t>MERZOUGUI/SIRINE</t>
  </si>
  <si>
    <t xml:space="preserve">CAKIR/BULENT </t>
  </si>
  <si>
    <t>Abdullayev Jamshid</t>
  </si>
  <si>
    <t>OKUR/SABRI</t>
  </si>
  <si>
    <t>COSKUN/MERIC</t>
  </si>
  <si>
    <t>ALTUG/UCLER</t>
  </si>
  <si>
    <t>DALDAL/TURAN</t>
  </si>
  <si>
    <t>Aliyev Bahrom</t>
  </si>
  <si>
    <t>MIRVOKHITOV/MIRSAID</t>
  </si>
  <si>
    <t>Nukus City</t>
  </si>
  <si>
    <t>UMAROV/SHERZOD</t>
  </si>
  <si>
    <t>ALIKHODJAEV/BEKHZOD</t>
  </si>
  <si>
    <t>SHIRMUKHAMEDOV/AZIZ</t>
  </si>
  <si>
    <t>YUCEL/ENGIN</t>
  </si>
  <si>
    <t xml:space="preserve">ABDULLAEV/MUZAFFAR </t>
  </si>
  <si>
    <t xml:space="preserve">ABDULLAEV/SUNNATILLA </t>
  </si>
  <si>
    <t>Tas-Nukus</t>
  </si>
  <si>
    <t xml:space="preserve">AKBAROV/ALIMARDON </t>
  </si>
  <si>
    <t xml:space="preserve">ARICAN/MUSTAFA TUNC </t>
  </si>
  <si>
    <t xml:space="preserve">ERGASHEV/BAKHODIR </t>
  </si>
  <si>
    <t xml:space="preserve">JAKHONGIROV/SHUKRULLOBEK </t>
  </si>
  <si>
    <t>Nukus-Tashkent</t>
  </si>
  <si>
    <t xml:space="preserve">KARABAEV/LUTFULLA </t>
  </si>
  <si>
    <t>Tas-Nukus-tas</t>
  </si>
  <si>
    <t xml:space="preserve">MAKHMUDKHOJIZODA/NODIRJON </t>
  </si>
  <si>
    <t xml:space="preserve">MAKSUDKHUJAEV/UMIDKHUJA </t>
  </si>
  <si>
    <t xml:space="preserve">MEDETBAEV/DAULETIYAR </t>
  </si>
  <si>
    <t xml:space="preserve">MIRVOKHITOV/MIRTOLIB </t>
  </si>
  <si>
    <t xml:space="preserve">MUKARRABOV/ELYOR </t>
  </si>
  <si>
    <t xml:space="preserve">PEHLIVANLI/DOGAN </t>
  </si>
  <si>
    <t xml:space="preserve">PUDOVKIN/IVAN </t>
  </si>
  <si>
    <t xml:space="preserve">RAKHIMOV/MIRABZAL </t>
  </si>
  <si>
    <t xml:space="preserve">TOSHKENBAEV/RUSTAMBEK </t>
  </si>
  <si>
    <t xml:space="preserve">UCAR/ORHAN </t>
  </si>
  <si>
    <t xml:space="preserve">ULUGMURADOV/SAKHOBIDDIN </t>
  </si>
  <si>
    <t xml:space="preserve">YAMINOV/KOZIMBEK </t>
  </si>
  <si>
    <t xml:space="preserve">ABDUKARIMOV/MAKHMUDJON </t>
  </si>
  <si>
    <t>Tas-Nukus-Ugc-Tas</t>
  </si>
  <si>
    <t>ВОZОRОVА RUZIGUL SНАRОFОVNА</t>
  </si>
  <si>
    <t>Tas-Bukhara</t>
  </si>
  <si>
    <t>YUSUРОVА RISОLА МIRSОDIQОVNА</t>
  </si>
  <si>
    <t>ABDUKARIMOV/MAKHMUDJON</t>
  </si>
  <si>
    <t>BOSITOV/MUKHTOR</t>
  </si>
  <si>
    <t>Tas-Ugc-Nukus-TAs</t>
  </si>
  <si>
    <t>ZAMRONI, AGUS</t>
  </si>
  <si>
    <t>Taxirov Aziz</t>
  </si>
  <si>
    <t>Jakarta-Ist-Tas</t>
  </si>
  <si>
    <t>AKCAN/SAVAS</t>
  </si>
  <si>
    <t>MADAMINOV/KHUSAN</t>
  </si>
  <si>
    <t>Ugc-Tas</t>
  </si>
  <si>
    <t>MAKSUDKHUJAEV/UMIDKHUJA</t>
  </si>
  <si>
    <t>AKBAROV/ALIMARDON</t>
  </si>
  <si>
    <t>Urgench-Tashkent</t>
  </si>
  <si>
    <t>DADAJONOV/ZAKHRIDDIN</t>
  </si>
  <si>
    <t xml:space="preserve">Hakimov Jamshid </t>
  </si>
  <si>
    <t>MIRGIYOSOV/JAKHONGIR</t>
  </si>
  <si>
    <t>ARSLAN, KEMAL</t>
  </si>
  <si>
    <t>КULЕSНОV АLЕКSАNDR IGОRЕVIСН</t>
  </si>
  <si>
    <t>Sasha</t>
  </si>
  <si>
    <t>CAKIR, BULENT</t>
  </si>
  <si>
    <t>MEDETBAEV/DAULETIYAR</t>
  </si>
  <si>
    <t>ISRAILOV/ISMAIL</t>
  </si>
  <si>
    <t>JAKHONGIROV/SHUKRULLOBEK</t>
  </si>
  <si>
    <t>RAKHIMDJANOV/MARDON</t>
  </si>
  <si>
    <t>OZKAN, ONUR</t>
  </si>
  <si>
    <t>DJURAEVA DILDORA</t>
  </si>
  <si>
    <t>Urinov Sardor</t>
  </si>
  <si>
    <t>DJURAEV/BEGZOD</t>
  </si>
  <si>
    <t>AZIMOV/ABDUKHAMID</t>
  </si>
  <si>
    <t>CELIKKAYA, VOLKAN</t>
  </si>
  <si>
    <t>YAMINOV/KOZIMBEK</t>
  </si>
  <si>
    <t>YUKSEL/MELIH</t>
  </si>
  <si>
    <t>Anqara</t>
  </si>
  <si>
    <t>KEYMEN/AHMET</t>
  </si>
  <si>
    <t>ARKAN, YUNUS EMRE</t>
  </si>
  <si>
    <t>TUMAY/ABDULKADIR</t>
  </si>
  <si>
    <t>Alijon Zokirov</t>
  </si>
  <si>
    <t>ZAKIROV/OLIMJON</t>
  </si>
  <si>
    <t>Nazarof</t>
  </si>
  <si>
    <t xml:space="preserve">MIRKHOJAEV/ABDURASUL </t>
  </si>
  <si>
    <t xml:space="preserve">FAZILOV/ANVAR </t>
  </si>
  <si>
    <t xml:space="preserve">ABILPATTAEV/SHERZOT </t>
  </si>
  <si>
    <t xml:space="preserve">TOJIBOEV/SHAKHBOZ </t>
  </si>
  <si>
    <t>MIRVOKHITOV/MIRTOLIB</t>
  </si>
  <si>
    <t>Tursunhodjaev Rahmatilla</t>
  </si>
  <si>
    <t>OZASLAN/MUSTAFA FEDAI</t>
  </si>
  <si>
    <t>АВDUМАLIКОV АLIМАRDОN АВDUVОSТОGLI</t>
  </si>
  <si>
    <t>ACAR/CANER</t>
  </si>
  <si>
    <t>09.10.20-03.11.20</t>
  </si>
  <si>
    <t>16.10.20-26.10.20</t>
  </si>
  <si>
    <t>13.10.20-23.10.20</t>
  </si>
  <si>
    <t>08.10.20-12.10.20</t>
  </si>
  <si>
    <t>12.10.20-25.10.20</t>
  </si>
  <si>
    <t>15.10-25.10</t>
  </si>
  <si>
    <t>24.10-01.11</t>
  </si>
  <si>
    <t>23.10.20-03.11.20</t>
  </si>
  <si>
    <t>20.10-21.10</t>
  </si>
  <si>
    <t>21.10-22.10</t>
  </si>
  <si>
    <t>21.10-24.10</t>
  </si>
  <si>
    <t>23.10-24.10</t>
  </si>
  <si>
    <t>22.10.20-23.10.20</t>
  </si>
  <si>
    <t>25.10-26.10</t>
  </si>
  <si>
    <t>28.10-29.10</t>
  </si>
  <si>
    <t>28.10-29.11</t>
  </si>
  <si>
    <t>30.10-11.11</t>
  </si>
  <si>
    <t>29.10-30.10</t>
  </si>
  <si>
    <t>05.11.20-15.11.20</t>
  </si>
  <si>
    <t>30.10.20-08.11.20</t>
  </si>
  <si>
    <t>01.11.20-05.11.20</t>
  </si>
  <si>
    <t>29.10.20-16.10.20</t>
  </si>
  <si>
    <t>06.10-16.10</t>
  </si>
  <si>
    <t>02.10.20-08.10.20</t>
  </si>
  <si>
    <t>04.10.20-05.10.20</t>
  </si>
  <si>
    <t>Нерезидент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</si>
</sst>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\ _₽_-;\-* #,##0.00\ _₽_-;_-* &quot;-&quot;??\ _₽_-;_-@_-"/>
    <numFmt numFmtId="164" formatCode="m/d/yy;@"/>
    <numFmt numFmtId="165" formatCode="_-* #,##0.00_р_._-;\-* #,##0.00_р_._-;_-* &quot;-&quot;??_р_._-;_-@_-"/>
    <numFmt numFmtId="166" formatCode="_-* #,##0_р_._-;\-* #,##0_р_._-;_-* &quot;-&quot;??_р_._-;_-@_-"/>
    <numFmt numFmtId="167" formatCode="_-* #,##0\ _₽_-;\-* #,##0\ _₽_-;_-* &quot;-&quot;??\ _₽_-;_-@_-"/>
    <numFmt numFmtId="168" formatCode="[$-419]d\ mmm;@"/>
    <numFmt numFmtId="169" formatCode="#,##0.00\ _р_."/>
    <numFmt numFmtId="170" formatCode="[$-419]d\ mmm\ yy;@"/>
    <numFmt numFmtId="171" formatCode="_-* #,##0.00\ [$so'm-443]_-;\-* #,##0.00\ [$so'm-443]_-;_-* &quot;-&quot;??\ [$so'm-443]_-;_-@_-"/>
    <numFmt numFmtId="172" formatCode="[$-419]mmmm\ yyyy;@"/>
    <numFmt numFmtId="173" formatCode="dd/mm/yy;@"/>
    <numFmt numFmtId="174" formatCode="_-* #,##0.00\ [$soʻm-443]_-;\-* #,##0.00\ [$soʻm-443]_-;_-* &quot;-&quot;??\ [$soʻm-443]_-;_-@_-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22.5"/>
      <color theme="1" tint="0.34998626667073579"/>
      <name val="Century Gothic"/>
      <family val="2"/>
      <scheme val="major"/>
    </font>
    <font>
      <sz val="11"/>
      <color theme="0"/>
      <name val="Century Gothic"/>
      <family val="2"/>
      <scheme val="major"/>
    </font>
    <font>
      <sz val="11"/>
      <color theme="10"/>
      <name val="Calibri"/>
      <family val="2"/>
      <scheme val="minor"/>
    </font>
    <font>
      <sz val="11"/>
      <color theme="11"/>
      <name val="Calibri"/>
      <family val="2"/>
      <scheme val="minor"/>
    </font>
    <font>
      <b/>
      <sz val="11"/>
      <color theme="3"/>
      <name val="Century Gothic"/>
      <family val="2"/>
      <scheme val="major"/>
    </font>
    <font>
      <b/>
      <sz val="11"/>
      <color theme="1"/>
      <name val="Century Gothic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  <charset val="204"/>
    </font>
    <font>
      <sz val="22.5"/>
      <color theme="1" tint="0.34998626667073579"/>
      <name val="Segoe UI"/>
      <family val="2"/>
      <charset val="204"/>
    </font>
    <font>
      <sz val="11"/>
      <color theme="1"/>
      <name val="Segoe UI"/>
      <family val="2"/>
      <charset val="204"/>
    </font>
    <font>
      <sz val="10"/>
      <color theme="1"/>
      <name val="Segoe UI"/>
      <family val="2"/>
      <charset val="204"/>
    </font>
    <font>
      <sz val="11"/>
      <color theme="10"/>
      <name val="Segoe U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1"/>
      <color rgb="FFFF0000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0"/>
      <color theme="3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3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</font>
    <font>
      <b/>
      <sz val="12"/>
      <color theme="1"/>
      <name val="Verdana"/>
      <family val="2"/>
    </font>
    <font>
      <sz val="14"/>
      <color theme="1"/>
      <name val="Calibri"/>
      <family val="2"/>
      <scheme val="minor"/>
    </font>
    <font>
      <sz val="11"/>
      <color theme="1"/>
      <name val="Segoe UI"/>
      <family val="2"/>
      <charset val="204"/>
    </font>
    <font>
      <b/>
      <sz val="11"/>
      <color theme="1"/>
      <name val="Segoe UI"/>
      <family val="2"/>
      <charset val="204"/>
    </font>
    <font>
      <b/>
      <sz val="12"/>
      <color theme="0"/>
      <name val="Verdana"/>
      <family val="2"/>
      <charset val="204"/>
    </font>
    <font>
      <sz val="12"/>
      <color theme="1"/>
      <name val="Verdana"/>
      <family val="2"/>
      <charset val="204"/>
    </font>
    <font>
      <sz val="12"/>
      <name val="Verdana"/>
      <family val="2"/>
      <charset val="204"/>
    </font>
    <font>
      <b/>
      <sz val="11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sz val="12"/>
      <color rgb="FF000000"/>
      <name val="Verdana"/>
      <family val="2"/>
      <charset val="204"/>
    </font>
    <font>
      <sz val="11"/>
      <color theme="1"/>
      <name val="Verdana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2"/>
      <color rgb="FF3F3F3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Verdana"/>
      <family val="2"/>
      <charset val="204"/>
    </font>
    <font>
      <b/>
      <sz val="9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3" borderId="1" applyNumberFormat="0" applyProtection="0">
      <alignment horizontal="center" vertical="center"/>
    </xf>
    <xf numFmtId="0" fontId="8" fillId="0" borderId="0" applyNumberFormat="0" applyFill="0" applyProtection="0">
      <alignment horizontal="left" indent="1"/>
    </xf>
    <xf numFmtId="4" fontId="8" fillId="0" borderId="0" applyFill="0" applyProtection="0">
      <alignment horizontal="right" indent="1"/>
    </xf>
    <xf numFmtId="0" fontId="7" fillId="2" borderId="0" applyNumberFormat="0" applyBorder="0" applyProtection="0">
      <alignment vertical="center" wrapText="1"/>
    </xf>
    <xf numFmtId="0" fontId="5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0" borderId="0">
      <alignment horizontal="left" wrapText="1" indent="1"/>
    </xf>
    <xf numFmtId="4" fontId="9" fillId="0" borderId="0">
      <alignment horizontal="right" indent="1"/>
    </xf>
    <xf numFmtId="164" fontId="9" fillId="0" borderId="0">
      <alignment horizontal="left" indent="1"/>
    </xf>
    <xf numFmtId="0" fontId="2" fillId="0" borderId="0">
      <alignment horizontal="left" vertical="center" wrapText="1" indent="6"/>
    </xf>
    <xf numFmtId="0" fontId="9" fillId="0" borderId="0">
      <alignment horizontal="left" vertical="center" wrapText="1" indent="3"/>
    </xf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47" fillId="10" borderId="14" applyNumberFormat="0" applyAlignment="0" applyProtection="0"/>
  </cellStyleXfs>
  <cellXfs count="339">
    <xf numFmtId="0" fontId="0" fillId="0" borderId="0" xfId="0"/>
    <xf numFmtId="0" fontId="11" fillId="0" borderId="0" xfId="1" applyFont="1"/>
    <xf numFmtId="0" fontId="12" fillId="0" borderId="0" xfId="0" applyFont="1"/>
    <xf numFmtId="0" fontId="14" fillId="3" borderId="1" xfId="6" applyFont="1" applyBorder="1" applyAlignment="1">
      <alignment horizontal="center" vertical="center"/>
    </xf>
    <xf numFmtId="0" fontId="12" fillId="0" borderId="0" xfId="8" applyFont="1">
      <alignment horizontal="left" wrapText="1" indent="1"/>
    </xf>
    <xf numFmtId="4" fontId="12" fillId="0" borderId="0" xfId="9" applyNumberFormat="1" applyFont="1">
      <alignment horizontal="right" indent="1"/>
    </xf>
    <xf numFmtId="0" fontId="10" fillId="0" borderId="0" xfId="3" applyFont="1" applyFill="1">
      <alignment horizontal="left" indent="1"/>
    </xf>
    <xf numFmtId="0" fontId="10" fillId="0" borderId="0" xfId="0" applyFont="1" applyFill="1" applyBorder="1" applyAlignment="1">
      <alignment horizontal="left" indent="1"/>
    </xf>
    <xf numFmtId="4" fontId="10" fillId="0" borderId="0" xfId="0" applyNumberFormat="1" applyFont="1" applyFill="1" applyBorder="1" applyAlignment="1">
      <alignment horizontal="right" indent="1"/>
    </xf>
    <xf numFmtId="0" fontId="5" fillId="3" borderId="1" xfId="6" applyBorder="1" applyAlignment="1">
      <alignment horizontal="center" vertical="center"/>
    </xf>
    <xf numFmtId="4" fontId="12" fillId="0" borderId="0" xfId="9" applyNumberFormat="1" applyFont="1" applyFill="1">
      <alignment horizontal="right" indent="1"/>
    </xf>
    <xf numFmtId="0" fontId="17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0" fillId="0" borderId="0" xfId="3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8" applyFont="1" applyAlignment="1">
      <alignment horizontal="left" indent="1"/>
    </xf>
    <xf numFmtId="0" fontId="0" fillId="0" borderId="2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9" fontId="12" fillId="0" borderId="0" xfId="14" applyFont="1" applyAlignment="1">
      <alignment horizontal="center"/>
    </xf>
    <xf numFmtId="9" fontId="12" fillId="0" borderId="0" xfId="14" applyNumberFormat="1" applyFont="1" applyAlignment="1">
      <alignment horizontal="center"/>
    </xf>
    <xf numFmtId="9" fontId="10" fillId="0" borderId="0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 vertical="center"/>
    </xf>
    <xf numFmtId="14" fontId="0" fillId="5" borderId="2" xfId="0" applyNumberFormat="1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167" fontId="0" fillId="0" borderId="2" xfId="13" applyNumberFormat="1" applyFont="1" applyBorder="1" applyAlignment="1"/>
    <xf numFmtId="14" fontId="0" fillId="5" borderId="2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8" fillId="4" borderId="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167" fontId="0" fillId="0" borderId="0" xfId="13" applyNumberFormat="1" applyFont="1" applyAlignment="1"/>
    <xf numFmtId="0" fontId="17" fillId="4" borderId="2" xfId="0" applyFont="1" applyFill="1" applyBorder="1" applyAlignment="1">
      <alignment vertical="center"/>
    </xf>
    <xf numFmtId="0" fontId="26" fillId="5" borderId="2" xfId="0" applyFont="1" applyFill="1" applyBorder="1" applyAlignment="1">
      <alignment horizontal="center" vertical="center"/>
    </xf>
    <xf numFmtId="14" fontId="20" fillId="5" borderId="2" xfId="0" applyNumberFormat="1" applyFont="1" applyFill="1" applyBorder="1" applyAlignment="1">
      <alignment horizontal="center" vertical="top" wrapText="1"/>
    </xf>
    <xf numFmtId="0" fontId="20" fillId="0" borderId="2" xfId="0" applyFont="1" applyFill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14" fontId="20" fillId="0" borderId="2" xfId="0" applyNumberFormat="1" applyFont="1" applyBorder="1" applyAlignment="1">
      <alignment horizontal="center" vertical="top" wrapText="1"/>
    </xf>
    <xf numFmtId="0" fontId="20" fillId="0" borderId="7" xfId="0" applyFont="1" applyBorder="1" applyAlignment="1">
      <alignment vertical="top" wrapText="1"/>
    </xf>
    <xf numFmtId="0" fontId="20" fillId="0" borderId="0" xfId="0" applyFont="1" applyAlignment="1">
      <alignment horizontal="left" vertical="center" wrapText="1"/>
    </xf>
    <xf numFmtId="0" fontId="22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center" vertical="center"/>
    </xf>
    <xf numFmtId="168" fontId="22" fillId="5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left" vertical="center"/>
    </xf>
    <xf numFmtId="167" fontId="20" fillId="0" borderId="2" xfId="13" applyNumberFormat="1" applyFont="1" applyBorder="1" applyAlignment="1">
      <alignment horizontal="center" vertical="center"/>
    </xf>
    <xf numFmtId="167" fontId="20" fillId="0" borderId="0" xfId="13" applyNumberFormat="1" applyFont="1" applyAlignment="1">
      <alignment vertical="top" wrapText="1"/>
    </xf>
    <xf numFmtId="0" fontId="20" fillId="5" borderId="2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14" fontId="26" fillId="5" borderId="2" xfId="0" applyNumberFormat="1" applyFont="1" applyFill="1" applyBorder="1" applyAlignment="1">
      <alignment horizontal="center"/>
    </xf>
    <xf numFmtId="0" fontId="26" fillId="5" borderId="2" xfId="0" applyFont="1" applyFill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5" borderId="7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/>
    </xf>
    <xf numFmtId="14" fontId="26" fillId="5" borderId="5" xfId="0" applyNumberFormat="1" applyFont="1" applyFill="1" applyBorder="1" applyAlignment="1">
      <alignment horizontal="center"/>
    </xf>
    <xf numFmtId="14" fontId="26" fillId="0" borderId="2" xfId="0" applyNumberFormat="1" applyFont="1" applyBorder="1" applyAlignment="1">
      <alignment horizontal="center"/>
    </xf>
    <xf numFmtId="0" fontId="31" fillId="5" borderId="2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26" fillId="0" borderId="0" xfId="0" applyFont="1" applyAlignment="1"/>
    <xf numFmtId="168" fontId="27" fillId="5" borderId="2" xfId="0" applyNumberFormat="1" applyFont="1" applyFill="1" applyBorder="1" applyAlignment="1">
      <alignment horizontal="center" vertical="center"/>
    </xf>
    <xf numFmtId="168" fontId="26" fillId="5" borderId="2" xfId="0" applyNumberFormat="1" applyFont="1" applyFill="1" applyBorder="1" applyAlignment="1">
      <alignment horizontal="center" vertical="center"/>
    </xf>
    <xf numFmtId="168" fontId="31" fillId="5" borderId="2" xfId="0" applyNumberFormat="1" applyFont="1" applyFill="1" applyBorder="1" applyAlignment="1">
      <alignment horizontal="center" vertical="center"/>
    </xf>
    <xf numFmtId="167" fontId="30" fillId="4" borderId="2" xfId="13" applyNumberFormat="1" applyFont="1" applyFill="1" applyBorder="1" applyAlignment="1">
      <alignment horizontal="center" vertical="center"/>
    </xf>
    <xf numFmtId="167" fontId="26" fillId="5" borderId="2" xfId="13" applyNumberFormat="1" applyFont="1" applyFill="1" applyBorder="1" applyAlignment="1">
      <alignment horizontal="center" vertical="center"/>
    </xf>
    <xf numFmtId="167" fontId="26" fillId="0" borderId="2" xfId="13" applyNumberFormat="1" applyFont="1" applyBorder="1" applyAlignment="1">
      <alignment horizontal="center"/>
    </xf>
    <xf numFmtId="167" fontId="31" fillId="5" borderId="2" xfId="13" applyNumberFormat="1" applyFont="1" applyFill="1" applyBorder="1" applyAlignment="1">
      <alignment horizontal="center" vertical="center"/>
    </xf>
    <xf numFmtId="167" fontId="26" fillId="0" borderId="0" xfId="13" applyNumberFormat="1" applyFont="1" applyAlignment="1"/>
    <xf numFmtId="0" fontId="22" fillId="5" borderId="6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14" fontId="17" fillId="5" borderId="2" xfId="0" applyNumberFormat="1" applyFont="1" applyFill="1" applyBorder="1" applyAlignment="1">
      <alignment horizontal="center" vertical="center"/>
    </xf>
    <xf numFmtId="14" fontId="20" fillId="5" borderId="2" xfId="0" applyNumberFormat="1" applyFont="1" applyFill="1" applyBorder="1" applyAlignment="1">
      <alignment horizontal="center"/>
    </xf>
    <xf numFmtId="0" fontId="24" fillId="4" borderId="2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0" fillId="0" borderId="0" xfId="0" applyFont="1" applyAlignment="1"/>
    <xf numFmtId="0" fontId="20" fillId="0" borderId="2" xfId="0" applyFont="1" applyBorder="1" applyAlignment="1"/>
    <xf numFmtId="167" fontId="24" fillId="4" borderId="2" xfId="13" applyNumberFormat="1" applyFont="1" applyFill="1" applyBorder="1" applyAlignment="1">
      <alignment horizontal="center" vertical="center"/>
    </xf>
    <xf numFmtId="167" fontId="20" fillId="0" borderId="0" xfId="13" applyNumberFormat="1" applyFont="1" applyAlignment="1"/>
    <xf numFmtId="0" fontId="21" fillId="4" borderId="2" xfId="0" applyFont="1" applyFill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7" fontId="28" fillId="4" borderId="2" xfId="13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167" fontId="22" fillId="5" borderId="2" xfId="13" applyNumberFormat="1" applyFont="1" applyFill="1" applyBorder="1" applyAlignment="1">
      <alignment horizontal="center" vertical="center"/>
    </xf>
    <xf numFmtId="169" fontId="20" fillId="5" borderId="2" xfId="0" applyNumberFormat="1" applyFont="1" applyFill="1" applyBorder="1" applyAlignment="1">
      <alignment horizontal="center" vertical="center"/>
    </xf>
    <xf numFmtId="169" fontId="20" fillId="0" borderId="2" xfId="0" applyNumberFormat="1" applyFont="1" applyBorder="1" applyAlignment="1"/>
    <xf numFmtId="167" fontId="20" fillId="5" borderId="2" xfId="13" applyNumberFormat="1" applyFont="1" applyFill="1" applyBorder="1" applyAlignment="1">
      <alignment horizontal="center" vertical="center"/>
    </xf>
    <xf numFmtId="167" fontId="32" fillId="5" borderId="2" xfId="13" applyNumberFormat="1" applyFont="1" applyFill="1" applyBorder="1" applyAlignment="1">
      <alignment horizontal="center" vertical="center"/>
    </xf>
    <xf numFmtId="168" fontId="29" fillId="5" borderId="2" xfId="0" applyNumberFormat="1" applyFont="1" applyFill="1" applyBorder="1" applyAlignment="1">
      <alignment horizontal="center" vertical="center"/>
    </xf>
    <xf numFmtId="169" fontId="20" fillId="0" borderId="0" xfId="0" applyNumberFormat="1" applyFont="1" applyAlignment="1"/>
    <xf numFmtId="0" fontId="20" fillId="4" borderId="2" xfId="0" applyFont="1" applyFill="1" applyBorder="1" applyAlignment="1">
      <alignment vertical="center"/>
    </xf>
    <xf numFmtId="0" fontId="22" fillId="6" borderId="2" xfId="0" applyFont="1" applyFill="1" applyBorder="1" applyAlignment="1">
      <alignment vertical="center"/>
    </xf>
    <xf numFmtId="0" fontId="22" fillId="5" borderId="2" xfId="0" applyFont="1" applyFill="1" applyBorder="1" applyAlignment="1">
      <alignment vertical="center"/>
    </xf>
    <xf numFmtId="0" fontId="29" fillId="5" borderId="2" xfId="0" applyFont="1" applyFill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14" fontId="22" fillId="5" borderId="2" xfId="0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4" fontId="20" fillId="5" borderId="2" xfId="0" applyNumberFormat="1" applyFont="1" applyFill="1" applyBorder="1" applyAlignment="1">
      <alignment horizontal="center" vertical="center"/>
    </xf>
    <xf numFmtId="16" fontId="20" fillId="5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6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7" fontId="20" fillId="0" borderId="2" xfId="13" applyNumberFormat="1" applyFont="1" applyFill="1" applyBorder="1" applyAlignment="1">
      <alignment horizontal="center" vertical="center"/>
    </xf>
    <xf numFmtId="167" fontId="2" fillId="0" borderId="2" xfId="13" applyNumberFormat="1" applyFont="1" applyBorder="1" applyAlignment="1">
      <alignment horizontal="center" vertical="center"/>
    </xf>
    <xf numFmtId="167" fontId="2" fillId="0" borderId="0" xfId="13" applyNumberFormat="1" applyFont="1" applyAlignment="1">
      <alignment horizontal="center" vertical="center"/>
    </xf>
    <xf numFmtId="167" fontId="28" fillId="4" borderId="3" xfId="13" applyNumberFormat="1" applyFont="1" applyFill="1" applyBorder="1" applyAlignment="1">
      <alignment horizontal="center" vertical="center"/>
    </xf>
    <xf numFmtId="167" fontId="29" fillId="5" borderId="2" xfId="13" applyNumberFormat="1" applyFont="1" applyFill="1" applyBorder="1" applyAlignment="1">
      <alignment horizontal="center" vertical="center"/>
    </xf>
    <xf numFmtId="167" fontId="2" fillId="5" borderId="2" xfId="13" applyNumberFormat="1" applyFont="1" applyFill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5" borderId="2" xfId="0" applyFont="1" applyFill="1" applyBorder="1" applyAlignment="1">
      <alignment vertical="center"/>
    </xf>
    <xf numFmtId="0" fontId="2" fillId="0" borderId="0" xfId="17" applyFont="1" applyAlignment="1">
      <alignment vertical="center"/>
    </xf>
    <xf numFmtId="166" fontId="2" fillId="0" borderId="0" xfId="19" applyNumberFormat="1" applyFont="1" applyAlignment="1">
      <alignment horizontal="center" vertical="center"/>
    </xf>
    <xf numFmtId="0" fontId="2" fillId="0" borderId="0" xfId="17" applyFont="1" applyAlignment="1">
      <alignment horizontal="center" vertical="center"/>
    </xf>
    <xf numFmtId="167" fontId="10" fillId="0" borderId="0" xfId="0" applyNumberFormat="1" applyFont="1" applyFill="1" applyBorder="1" applyAlignment="1">
      <alignment horizontal="right" indent="1"/>
    </xf>
    <xf numFmtId="9" fontId="25" fillId="0" borderId="0" xfId="14" applyFont="1" applyAlignment="1">
      <alignment horizontal="center"/>
    </xf>
    <xf numFmtId="43" fontId="25" fillId="0" borderId="0" xfId="13" applyFont="1" applyAlignment="1">
      <alignment horizontal="center"/>
    </xf>
    <xf numFmtId="0" fontId="11" fillId="0" borderId="0" xfId="1" applyFont="1" applyAlignment="1">
      <alignment vertical="center"/>
    </xf>
    <xf numFmtId="0" fontId="33" fillId="4" borderId="2" xfId="0" applyFont="1" applyFill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top"/>
    </xf>
    <xf numFmtId="0" fontId="34" fillId="4" borderId="3" xfId="0" applyFont="1" applyFill="1" applyBorder="1" applyAlignment="1">
      <alignment horizontal="center" vertical="top"/>
    </xf>
    <xf numFmtId="0" fontId="33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167" fontId="17" fillId="0" borderId="2" xfId="13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7" fontId="17" fillId="0" borderId="0" xfId="13" applyNumberFormat="1" applyFont="1" applyAlignment="1">
      <alignment vertical="center"/>
    </xf>
    <xf numFmtId="168" fontId="23" fillId="5" borderId="2" xfId="0" applyNumberFormat="1" applyFont="1" applyFill="1" applyBorder="1" applyAlignment="1">
      <alignment horizontal="center" vertical="center"/>
    </xf>
    <xf numFmtId="169" fontId="17" fillId="5" borderId="2" xfId="0" applyNumberFormat="1" applyFont="1" applyFill="1" applyBorder="1" applyAlignment="1">
      <alignment horizontal="center" vertical="center"/>
    </xf>
    <xf numFmtId="168" fontId="17" fillId="5" borderId="2" xfId="0" applyNumberFormat="1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vertical="center"/>
    </xf>
    <xf numFmtId="4" fontId="12" fillId="0" borderId="0" xfId="13" applyNumberFormat="1" applyFont="1" applyAlignment="1">
      <alignment horizontal="right" indent="1"/>
    </xf>
    <xf numFmtId="9" fontId="12" fillId="0" borderId="0" xfId="14" applyNumberFormat="1" applyFont="1" applyFill="1" applyAlignment="1">
      <alignment horizontal="center"/>
    </xf>
    <xf numFmtId="0" fontId="35" fillId="7" borderId="2" xfId="0" applyFont="1" applyFill="1" applyBorder="1" applyAlignment="1">
      <alignment horizontal="center" vertical="center"/>
    </xf>
    <xf numFmtId="166" fontId="36" fillId="0" borderId="2" xfId="19" applyNumberFormat="1" applyFont="1" applyBorder="1" applyAlignment="1">
      <alignment horizontal="center" vertical="center"/>
    </xf>
    <xf numFmtId="0" fontId="36" fillId="0" borderId="2" xfId="17" applyFont="1" applyBorder="1" applyAlignment="1">
      <alignment horizontal="center" vertical="center"/>
    </xf>
    <xf numFmtId="14" fontId="2" fillId="0" borderId="0" xfId="17" applyNumberFormat="1" applyFont="1" applyAlignment="1">
      <alignment vertical="center"/>
    </xf>
    <xf numFmtId="14" fontId="35" fillId="7" borderId="2" xfId="0" applyNumberFormat="1" applyFont="1" applyFill="1" applyBorder="1" applyAlignment="1">
      <alignment horizontal="center" vertical="center"/>
    </xf>
    <xf numFmtId="14" fontId="36" fillId="0" borderId="2" xfId="17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167" fontId="35" fillId="7" borderId="2" xfId="13" applyNumberFormat="1" applyFont="1" applyFill="1" applyBorder="1" applyAlignment="1">
      <alignment horizontal="center" vertical="center"/>
    </xf>
    <xf numFmtId="4" fontId="37" fillId="0" borderId="0" xfId="13" applyNumberFormat="1" applyFont="1" applyFill="1" applyAlignment="1">
      <alignment horizontal="right" indent="1"/>
    </xf>
    <xf numFmtId="9" fontId="37" fillId="0" borderId="0" xfId="14" applyNumberFormat="1" applyFont="1" applyAlignment="1">
      <alignment horizontal="center"/>
    </xf>
    <xf numFmtId="0" fontId="38" fillId="0" borderId="0" xfId="0" applyFont="1" applyFill="1" applyBorder="1" applyAlignment="1">
      <alignment horizontal="left" indent="1"/>
    </xf>
    <xf numFmtId="167" fontId="38" fillId="0" borderId="0" xfId="0" applyNumberFormat="1" applyFont="1" applyFill="1" applyBorder="1" applyAlignment="1">
      <alignment horizontal="right" indent="1"/>
    </xf>
    <xf numFmtId="4" fontId="38" fillId="0" borderId="0" xfId="0" applyNumberFormat="1" applyFont="1" applyFill="1" applyBorder="1" applyAlignment="1">
      <alignment horizontal="right" indent="1"/>
    </xf>
    <xf numFmtId="0" fontId="37" fillId="0" borderId="0" xfId="0" applyFont="1"/>
    <xf numFmtId="0" fontId="19" fillId="0" borderId="7" xfId="0" applyFont="1" applyBorder="1" applyAlignment="1">
      <alignment horizontal="center" vertical="center"/>
    </xf>
    <xf numFmtId="14" fontId="17" fillId="4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/>
    <xf numFmtId="14" fontId="26" fillId="4" borderId="2" xfId="0" applyNumberFormat="1" applyFont="1" applyFill="1" applyBorder="1" applyAlignment="1">
      <alignment horizontal="center" vertical="center"/>
    </xf>
    <xf numFmtId="14" fontId="27" fillId="5" borderId="2" xfId="0" applyNumberFormat="1" applyFont="1" applyFill="1" applyBorder="1" applyAlignment="1">
      <alignment horizontal="center" vertical="center"/>
    </xf>
    <xf numFmtId="14" fontId="26" fillId="5" borderId="2" xfId="0" applyNumberFormat="1" applyFont="1" applyFill="1" applyBorder="1" applyAlignment="1">
      <alignment horizontal="center" vertical="center"/>
    </xf>
    <xf numFmtId="14" fontId="26" fillId="0" borderId="0" xfId="0" applyNumberFormat="1" applyFont="1" applyAlignment="1"/>
    <xf numFmtId="14" fontId="23" fillId="5" borderId="2" xfId="0" applyNumberFormat="1" applyFont="1" applyFill="1" applyBorder="1" applyAlignment="1">
      <alignment horizontal="center" vertical="center"/>
    </xf>
    <xf numFmtId="14" fontId="17" fillId="0" borderId="0" xfId="0" applyNumberFormat="1" applyFont="1" applyAlignment="1">
      <alignment vertical="center"/>
    </xf>
    <xf numFmtId="0" fontId="17" fillId="0" borderId="6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14" fontId="20" fillId="4" borderId="2" xfId="0" applyNumberFormat="1" applyFont="1" applyFill="1" applyBorder="1" applyAlignment="1">
      <alignment horizontal="center" vertical="center"/>
    </xf>
    <xf numFmtId="14" fontId="22" fillId="5" borderId="2" xfId="0" applyNumberFormat="1" applyFont="1" applyFill="1" applyBorder="1" applyAlignment="1">
      <alignment horizontal="center"/>
    </xf>
    <xf numFmtId="14" fontId="20" fillId="0" borderId="0" xfId="0" applyNumberFormat="1" applyFont="1" applyAlignment="1"/>
    <xf numFmtId="14" fontId="21" fillId="4" borderId="2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9" fillId="5" borderId="6" xfId="0" applyFont="1" applyFill="1" applyBorder="1" applyAlignment="1">
      <alignment horizontal="center" vertical="center"/>
    </xf>
    <xf numFmtId="0" fontId="39" fillId="8" borderId="2" xfId="0" applyFont="1" applyFill="1" applyBorder="1" applyAlignment="1">
      <alignment horizontal="center" vertical="center"/>
    </xf>
    <xf numFmtId="0" fontId="12" fillId="0" borderId="0" xfId="8" applyFont="1" applyFill="1" applyAlignment="1">
      <alignment horizontal="left" indent="1"/>
    </xf>
    <xf numFmtId="0" fontId="25" fillId="0" borderId="0" xfId="8" applyFont="1" applyAlignment="1">
      <alignment horizontal="left" indent="1"/>
    </xf>
    <xf numFmtId="0" fontId="40" fillId="5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40" fillId="0" borderId="0" xfId="0" applyFont="1" applyAlignment="1"/>
    <xf numFmtId="0" fontId="40" fillId="5" borderId="0" xfId="0" applyFont="1" applyFill="1" applyAlignment="1"/>
    <xf numFmtId="0" fontId="40" fillId="0" borderId="0" xfId="0" applyFont="1" applyFill="1" applyAlignment="1"/>
    <xf numFmtId="170" fontId="40" fillId="5" borderId="2" xfId="0" applyNumberFormat="1" applyFont="1" applyFill="1" applyBorder="1" applyAlignment="1">
      <alignment horizontal="center"/>
    </xf>
    <xf numFmtId="0" fontId="40" fillId="5" borderId="2" xfId="0" applyFont="1" applyFill="1" applyBorder="1" applyAlignment="1">
      <alignment horizontal="center" wrapText="1"/>
    </xf>
    <xf numFmtId="0" fontId="40" fillId="5" borderId="2" xfId="0" applyFont="1" applyFill="1" applyBorder="1" applyAlignment="1">
      <alignment horizontal="center"/>
    </xf>
    <xf numFmtId="0" fontId="40" fillId="5" borderId="2" xfId="0" applyFont="1" applyFill="1" applyBorder="1" applyAlignment="1">
      <alignment horizontal="center" vertical="center"/>
    </xf>
    <xf numFmtId="171" fontId="41" fillId="5" borderId="2" xfId="13" applyNumberFormat="1" applyFont="1" applyFill="1" applyBorder="1" applyAlignment="1">
      <alignment horizontal="center"/>
    </xf>
    <xf numFmtId="0" fontId="40" fillId="5" borderId="8" xfId="0" applyFont="1" applyFill="1" applyBorder="1" applyAlignment="1">
      <alignment horizontal="center" vertical="center"/>
    </xf>
    <xf numFmtId="0" fontId="41" fillId="5" borderId="2" xfId="0" applyFont="1" applyFill="1" applyBorder="1" applyAlignment="1">
      <alignment horizontal="center" wrapText="1"/>
    </xf>
    <xf numFmtId="0" fontId="40" fillId="5" borderId="9" xfId="0" applyFont="1" applyFill="1" applyBorder="1" applyAlignment="1">
      <alignment horizontal="center"/>
    </xf>
    <xf numFmtId="0" fontId="40" fillId="5" borderId="2" xfId="0" applyFont="1" applyFill="1" applyBorder="1" applyAlignment="1">
      <alignment horizontal="center" vertical="center" wrapText="1"/>
    </xf>
    <xf numFmtId="0" fontId="40" fillId="9" borderId="2" xfId="0" applyFont="1" applyFill="1" applyBorder="1" applyAlignment="1">
      <alignment horizontal="center" wrapText="1"/>
    </xf>
    <xf numFmtId="0" fontId="40" fillId="9" borderId="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left" indent="1"/>
    </xf>
    <xf numFmtId="167" fontId="42" fillId="0" borderId="0" xfId="0" applyNumberFormat="1" applyFont="1" applyFill="1" applyBorder="1" applyAlignment="1">
      <alignment horizontal="right" indent="1"/>
    </xf>
    <xf numFmtId="4" fontId="42" fillId="0" borderId="0" xfId="0" applyNumberFormat="1" applyFont="1" applyFill="1" applyBorder="1" applyAlignment="1">
      <alignment horizontal="right" indent="1"/>
    </xf>
    <xf numFmtId="0" fontId="43" fillId="0" borderId="0" xfId="0" applyFont="1"/>
    <xf numFmtId="9" fontId="42" fillId="0" borderId="0" xfId="0" applyNumberFormat="1" applyFont="1" applyFill="1" applyBorder="1" applyAlignment="1">
      <alignment horizontal="center"/>
    </xf>
    <xf numFmtId="0" fontId="43" fillId="0" borderId="0" xfId="8" applyFont="1" applyFill="1" applyAlignment="1">
      <alignment horizontal="left" indent="1"/>
    </xf>
    <xf numFmtId="4" fontId="43" fillId="0" borderId="0" xfId="13" applyNumberFormat="1" applyFont="1" applyAlignment="1">
      <alignment horizontal="right" indent="1"/>
    </xf>
    <xf numFmtId="4" fontId="43" fillId="0" borderId="0" xfId="13" applyNumberFormat="1" applyFont="1" applyFill="1" applyAlignment="1">
      <alignment horizontal="right" indent="1"/>
    </xf>
    <xf numFmtId="9" fontId="43" fillId="0" borderId="0" xfId="14" applyNumberFormat="1" applyFont="1" applyAlignment="1">
      <alignment horizontal="center"/>
    </xf>
    <xf numFmtId="0" fontId="10" fillId="0" borderId="10" xfId="3" applyFont="1" applyFill="1" applyBorder="1" applyAlignment="1">
      <alignment horizontal="center"/>
    </xf>
    <xf numFmtId="0" fontId="12" fillId="2" borderId="11" xfId="8" applyNumberFormat="1" applyFont="1" applyFill="1" applyBorder="1" applyAlignment="1">
      <alignment horizontal="left" indent="1"/>
    </xf>
    <xf numFmtId="14" fontId="10" fillId="0" borderId="10" xfId="3" applyNumberFormat="1" applyFont="1" applyFill="1" applyBorder="1" applyAlignment="1">
      <alignment horizontal="center"/>
    </xf>
    <xf numFmtId="9" fontId="12" fillId="0" borderId="12" xfId="14" applyFont="1" applyFill="1" applyBorder="1" applyAlignment="1">
      <alignment horizontal="right" indent="1"/>
    </xf>
    <xf numFmtId="0" fontId="12" fillId="0" borderId="0" xfId="0" applyFont="1" applyAlignment="1">
      <alignment horizontal="center"/>
    </xf>
    <xf numFmtId="172" fontId="10" fillId="0" borderId="10" xfId="3" applyNumberFormat="1" applyFont="1" applyFill="1" applyBorder="1" applyAlignment="1">
      <alignment horizontal="center"/>
    </xf>
    <xf numFmtId="0" fontId="40" fillId="0" borderId="2" xfId="0" applyFont="1" applyBorder="1" applyAlignment="1">
      <alignment horizontal="center" vertical="center"/>
    </xf>
    <xf numFmtId="171" fontId="40" fillId="5" borderId="2" xfId="13" applyNumberFormat="1" applyFont="1" applyFill="1" applyBorder="1" applyAlignment="1">
      <alignment horizontal="center"/>
    </xf>
    <xf numFmtId="0" fontId="40" fillId="0" borderId="6" xfId="0" applyFont="1" applyBorder="1"/>
    <xf numFmtId="171" fontId="40" fillId="5" borderId="2" xfId="0" applyNumberFormat="1" applyFont="1" applyFill="1" applyBorder="1" applyAlignment="1">
      <alignment horizontal="center"/>
    </xf>
    <xf numFmtId="0" fontId="40" fillId="0" borderId="2" xfId="0" applyFont="1" applyBorder="1" applyAlignment="1">
      <alignment horizontal="center" wrapText="1"/>
    </xf>
    <xf numFmtId="0" fontId="40" fillId="0" borderId="2" xfId="0" applyFont="1" applyBorder="1" applyAlignment="1">
      <alignment horizontal="center"/>
    </xf>
    <xf numFmtId="171" fontId="40" fillId="5" borderId="2" xfId="0" applyNumberFormat="1" applyFont="1" applyFill="1" applyBorder="1"/>
    <xf numFmtId="171" fontId="40" fillId="5" borderId="2" xfId="0" applyNumberFormat="1" applyFont="1" applyFill="1" applyBorder="1" applyAlignment="1">
      <alignment horizontal="center" vertical="center"/>
    </xf>
    <xf numFmtId="171" fontId="40" fillId="5" borderId="2" xfId="13" applyNumberFormat="1" applyFont="1" applyFill="1" applyBorder="1" applyAlignment="1"/>
    <xf numFmtId="171" fontId="40" fillId="5" borderId="2" xfId="13" applyNumberFormat="1" applyFont="1" applyFill="1" applyBorder="1"/>
    <xf numFmtId="171" fontId="40" fillId="0" borderId="2" xfId="0" applyNumberFormat="1" applyFont="1" applyBorder="1"/>
    <xf numFmtId="171" fontId="40" fillId="5" borderId="2" xfId="0" applyNumberFormat="1" applyFont="1" applyFill="1" applyBorder="1" applyAlignment="1"/>
    <xf numFmtId="170" fontId="40" fillId="5" borderId="9" xfId="0" applyNumberFormat="1" applyFont="1" applyFill="1" applyBorder="1" applyAlignment="1">
      <alignment horizontal="center"/>
    </xf>
    <xf numFmtId="14" fontId="40" fillId="5" borderId="2" xfId="0" applyNumberFormat="1" applyFont="1" applyFill="1" applyBorder="1" applyAlignment="1">
      <alignment horizontal="center" vertical="center"/>
    </xf>
    <xf numFmtId="170" fontId="40" fillId="5" borderId="2" xfId="0" applyNumberFormat="1" applyFont="1" applyFill="1" applyBorder="1" applyAlignment="1">
      <alignment horizontal="center" vertical="center"/>
    </xf>
    <xf numFmtId="171" fontId="44" fillId="5" borderId="2" xfId="0" applyNumberFormat="1" applyFont="1" applyFill="1" applyBorder="1" applyAlignment="1">
      <alignment horizontal="center" vertical="center"/>
    </xf>
    <xf numFmtId="171" fontId="44" fillId="5" borderId="2" xfId="0" applyNumberFormat="1" applyFont="1" applyFill="1" applyBorder="1" applyAlignment="1">
      <alignment vertical="center"/>
    </xf>
    <xf numFmtId="0" fontId="40" fillId="0" borderId="8" xfId="20" applyNumberFormat="1" applyFont="1" applyBorder="1" applyAlignment="1">
      <alignment horizontal="center" vertical="center"/>
    </xf>
    <xf numFmtId="173" fontId="40" fillId="5" borderId="2" xfId="0" applyNumberFormat="1" applyFont="1" applyFill="1" applyBorder="1" applyAlignment="1">
      <alignment horizontal="center"/>
    </xf>
    <xf numFmtId="0" fontId="41" fillId="5" borderId="2" xfId="0" applyFont="1" applyFill="1" applyBorder="1" applyAlignment="1">
      <alignment horizontal="center" vertical="center" wrapText="1"/>
    </xf>
    <xf numFmtId="170" fontId="41" fillId="5" borderId="2" xfId="0" applyNumberFormat="1" applyFont="1" applyFill="1" applyBorder="1" applyAlignment="1">
      <alignment horizontal="center"/>
    </xf>
    <xf numFmtId="0" fontId="41" fillId="5" borderId="2" xfId="0" applyFont="1" applyFill="1" applyBorder="1" applyAlignment="1">
      <alignment horizontal="center"/>
    </xf>
    <xf numFmtId="0" fontId="41" fillId="5" borderId="2" xfId="0" applyFont="1" applyFill="1" applyBorder="1" applyAlignment="1">
      <alignment horizontal="center" vertical="center"/>
    </xf>
    <xf numFmtId="171" fontId="40" fillId="5" borderId="2" xfId="13" applyNumberFormat="1" applyFont="1" applyFill="1" applyBorder="1" applyAlignment="1">
      <alignment horizontal="center" vertical="center"/>
    </xf>
    <xf numFmtId="16" fontId="40" fillId="5" borderId="2" xfId="0" applyNumberFormat="1" applyFont="1" applyFill="1" applyBorder="1" applyAlignment="1">
      <alignment horizontal="center" wrapText="1"/>
    </xf>
    <xf numFmtId="173" fontId="40" fillId="5" borderId="2" xfId="0" applyNumberFormat="1" applyFont="1" applyFill="1" applyBorder="1" applyAlignment="1">
      <alignment horizontal="center" wrapText="1"/>
    </xf>
    <xf numFmtId="173" fontId="40" fillId="5" borderId="2" xfId="0" applyNumberFormat="1" applyFont="1" applyFill="1" applyBorder="1" applyAlignment="1">
      <alignment horizontal="center" vertical="center"/>
    </xf>
    <xf numFmtId="174" fontId="40" fillId="5" borderId="8" xfId="0" applyNumberFormat="1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168" fontId="40" fillId="5" borderId="2" xfId="0" applyNumberFormat="1" applyFont="1" applyFill="1" applyBorder="1" applyAlignment="1">
      <alignment horizontal="center" wrapText="1"/>
    </xf>
    <xf numFmtId="168" fontId="40" fillId="5" borderId="2" xfId="0" applyNumberFormat="1" applyFont="1" applyFill="1" applyBorder="1" applyAlignment="1">
      <alignment horizontal="center"/>
    </xf>
    <xf numFmtId="16" fontId="40" fillId="5" borderId="2" xfId="0" applyNumberFormat="1" applyFont="1" applyFill="1" applyBorder="1" applyAlignment="1">
      <alignment horizontal="center" vertical="center"/>
    </xf>
    <xf numFmtId="168" fontId="40" fillId="0" borderId="2" xfId="0" applyNumberFormat="1" applyFont="1" applyBorder="1" applyAlignment="1">
      <alignment horizontal="center" vertical="center"/>
    </xf>
    <xf numFmtId="0" fontId="45" fillId="0" borderId="2" xfId="0" applyFont="1" applyBorder="1" applyAlignment="1">
      <alignment horizontal="center"/>
    </xf>
    <xf numFmtId="0" fontId="40" fillId="5" borderId="4" xfId="0" applyFont="1" applyFill="1" applyBorder="1" applyAlignment="1">
      <alignment horizontal="center" vertical="center"/>
    </xf>
    <xf numFmtId="171" fontId="40" fillId="0" borderId="2" xfId="0" applyNumberFormat="1" applyFont="1" applyBorder="1" applyAlignment="1">
      <alignment horizontal="center"/>
    </xf>
    <xf numFmtId="0" fontId="40" fillId="0" borderId="8" xfId="0" applyFont="1" applyBorder="1" applyAlignment="1">
      <alignment horizontal="center" vertical="center"/>
    </xf>
    <xf numFmtId="0" fontId="40" fillId="5" borderId="13" xfId="0" applyFont="1" applyFill="1" applyBorder="1" applyAlignment="1">
      <alignment horizontal="center" vertical="center"/>
    </xf>
    <xf numFmtId="167" fontId="46" fillId="0" borderId="0" xfId="13" applyNumberFormat="1" applyFont="1" applyAlignment="1">
      <alignment vertical="center"/>
    </xf>
    <xf numFmtId="0" fontId="45" fillId="5" borderId="2" xfId="0" applyFont="1" applyFill="1" applyBorder="1" applyAlignment="1">
      <alignment horizontal="center"/>
    </xf>
    <xf numFmtId="0" fontId="40" fillId="5" borderId="8" xfId="0" applyFont="1" applyFill="1" applyBorder="1" applyAlignment="1">
      <alignment horizontal="center" wrapText="1"/>
    </xf>
    <xf numFmtId="0" fontId="40" fillId="5" borderId="4" xfId="0" applyFont="1" applyFill="1" applyBorder="1" applyAlignment="1">
      <alignment horizontal="center" wrapText="1"/>
    </xf>
    <xf numFmtId="0" fontId="40" fillId="5" borderId="4" xfId="0" applyFont="1" applyFill="1" applyBorder="1" applyAlignment="1">
      <alignment horizontal="center"/>
    </xf>
    <xf numFmtId="0" fontId="40" fillId="0" borderId="9" xfId="0" applyFont="1" applyBorder="1" applyAlignment="1">
      <alignment horizontal="center" vertical="center"/>
    </xf>
    <xf numFmtId="0" fontId="40" fillId="0" borderId="2" xfId="20" applyNumberFormat="1" applyFont="1" applyBorder="1" applyAlignment="1">
      <alignment horizontal="center" vertical="center"/>
    </xf>
    <xf numFmtId="0" fontId="40" fillId="5" borderId="8" xfId="0" applyFont="1" applyFill="1" applyBorder="1" applyAlignment="1">
      <alignment horizontal="center" vertical="center" wrapText="1"/>
    </xf>
    <xf numFmtId="171" fontId="40" fillId="0" borderId="2" xfId="0" applyNumberFormat="1" applyFont="1" applyFill="1" applyBorder="1" applyAlignment="1">
      <alignment horizontal="center"/>
    </xf>
    <xf numFmtId="171" fontId="40" fillId="0" borderId="2" xfId="13" applyNumberFormat="1" applyFont="1" applyFill="1" applyBorder="1" applyAlignment="1">
      <alignment horizontal="center"/>
    </xf>
    <xf numFmtId="171" fontId="40" fillId="0" borderId="2" xfId="13" applyNumberFormat="1" applyFont="1" applyFill="1" applyBorder="1" applyAlignment="1">
      <alignment horizontal="center" vertical="center"/>
    </xf>
    <xf numFmtId="167" fontId="12" fillId="0" borderId="12" xfId="13" applyNumberFormat="1" applyFont="1" applyFill="1" applyBorder="1" applyAlignment="1">
      <alignment horizontal="right" indent="1"/>
    </xf>
    <xf numFmtId="167" fontId="12" fillId="2" borderId="11" xfId="13" applyNumberFormat="1" applyFont="1" applyFill="1" applyBorder="1" applyAlignment="1">
      <alignment horizontal="left" indent="1"/>
    </xf>
    <xf numFmtId="14" fontId="47" fillId="10" borderId="14" xfId="21" applyNumberFormat="1" applyAlignment="1">
      <alignment vertical="center"/>
    </xf>
    <xf numFmtId="166" fontId="47" fillId="10" borderId="14" xfId="21" applyNumberFormat="1" applyAlignment="1">
      <alignment horizontal="center" vertical="center"/>
    </xf>
    <xf numFmtId="0" fontId="47" fillId="10" borderId="14" xfId="21" applyAlignment="1">
      <alignment vertical="center"/>
    </xf>
    <xf numFmtId="167" fontId="47" fillId="10" borderId="14" xfId="13" applyNumberFormat="1" applyFont="1" applyFill="1" applyBorder="1" applyAlignment="1">
      <alignment vertical="center"/>
    </xf>
    <xf numFmtId="167" fontId="36" fillId="0" borderId="2" xfId="13" applyNumberFormat="1" applyFont="1" applyBorder="1" applyAlignment="1">
      <alignment horizontal="center" vertical="center"/>
    </xf>
    <xf numFmtId="167" fontId="2" fillId="0" borderId="0" xfId="13" applyNumberFormat="1" applyFont="1" applyAlignment="1">
      <alignment vertical="center"/>
    </xf>
    <xf numFmtId="0" fontId="48" fillId="10" borderId="14" xfId="21" applyFont="1" applyAlignment="1">
      <alignment horizontal="center" vertical="center"/>
    </xf>
    <xf numFmtId="0" fontId="49" fillId="0" borderId="2" xfId="17" applyFont="1" applyBorder="1" applyAlignment="1">
      <alignment horizontal="center" vertical="center"/>
    </xf>
    <xf numFmtId="0" fontId="49" fillId="0" borderId="0" xfId="17" applyFont="1" applyAlignment="1">
      <alignment horizontal="center" vertical="center"/>
    </xf>
    <xf numFmtId="167" fontId="50" fillId="0" borderId="0" xfId="13" applyNumberFormat="1" applyFont="1" applyAlignment="1">
      <alignment vertic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15" xfId="0" applyFont="1" applyFill="1" applyBorder="1" applyAlignment="1">
      <alignment horizontal="left" indent="1"/>
    </xf>
    <xf numFmtId="167" fontId="10" fillId="0" borderId="16" xfId="0" applyNumberFormat="1" applyFont="1" applyFill="1" applyBorder="1" applyAlignment="1">
      <alignment horizontal="right" indent="1"/>
    </xf>
    <xf numFmtId="4" fontId="12" fillId="0" borderId="12" xfId="9" applyNumberFormat="1" applyFont="1" applyFill="1" applyBorder="1" applyAlignment="1">
      <alignment horizontal="right" indent="1"/>
    </xf>
    <xf numFmtId="4" fontId="12" fillId="2" borderId="12" xfId="9" applyNumberFormat="1" applyFont="1" applyFill="1" applyBorder="1" applyAlignment="1">
      <alignment horizontal="right" indent="1"/>
    </xf>
    <xf numFmtId="0" fontId="35" fillId="7" borderId="4" xfId="0" applyFont="1" applyFill="1" applyBorder="1" applyAlignment="1">
      <alignment horizontal="center" vertical="center"/>
    </xf>
    <xf numFmtId="14" fontId="35" fillId="7" borderId="4" xfId="0" applyNumberFormat="1" applyFont="1" applyFill="1" applyBorder="1" applyAlignment="1">
      <alignment horizontal="center" vertical="center"/>
    </xf>
    <xf numFmtId="167" fontId="35" fillId="7" borderId="4" xfId="13" applyNumberFormat="1" applyFont="1" applyFill="1" applyBorder="1" applyAlignment="1">
      <alignment horizontal="center" vertical="center"/>
    </xf>
    <xf numFmtId="167" fontId="51" fillId="0" borderId="0" xfId="13" applyNumberFormat="1" applyFont="1" applyAlignment="1">
      <alignment vertical="center"/>
    </xf>
    <xf numFmtId="0" fontId="12" fillId="0" borderId="0" xfId="0" applyFont="1" applyAlignment="1">
      <alignment horizontal="center"/>
    </xf>
    <xf numFmtId="167" fontId="51" fillId="0" borderId="2" xfId="13" applyNumberFormat="1" applyFont="1" applyBorder="1" applyAlignment="1">
      <alignment horizontal="center" vertical="center"/>
    </xf>
    <xf numFmtId="14" fontId="40" fillId="5" borderId="2" xfId="0" applyNumberFormat="1" applyFont="1" applyFill="1" applyBorder="1" applyAlignment="1">
      <alignment horizontal="center"/>
    </xf>
    <xf numFmtId="171" fontId="40" fillId="0" borderId="2" xfId="0" applyNumberFormat="1" applyFont="1" applyBorder="1" applyAlignment="1"/>
    <xf numFmtId="0" fontId="0" fillId="0" borderId="2" xfId="0" applyBorder="1" applyAlignment="1"/>
    <xf numFmtId="171" fontId="52" fillId="0" borderId="2" xfId="0" applyNumberFormat="1" applyFont="1" applyBorder="1" applyAlignment="1"/>
    <xf numFmtId="0" fontId="40" fillId="0" borderId="2" xfId="0" applyFont="1" applyBorder="1" applyAlignment="1">
      <alignment horizontal="left" vertical="center"/>
    </xf>
    <xf numFmtId="0" fontId="40" fillId="0" borderId="6" xfId="0" applyFont="1" applyBorder="1" applyAlignment="1">
      <alignment horizontal="left" vertical="center"/>
    </xf>
    <xf numFmtId="0" fontId="13" fillId="0" borderId="0" xfId="0" applyFont="1" applyAlignment="1"/>
    <xf numFmtId="0" fontId="40" fillId="0" borderId="6" xfId="0" applyFont="1" applyBorder="1" applyAlignment="1"/>
    <xf numFmtId="167" fontId="13" fillId="0" borderId="0" xfId="13" applyNumberFormat="1" applyFont="1" applyAlignment="1"/>
    <xf numFmtId="171" fontId="13" fillId="0" borderId="0" xfId="0" applyNumberFormat="1" applyFont="1" applyAlignment="1"/>
    <xf numFmtId="167" fontId="18" fillId="4" borderId="3" xfId="13" applyNumberFormat="1" applyFont="1" applyFill="1" applyBorder="1" applyAlignment="1">
      <alignment horizontal="center" vertical="center"/>
    </xf>
    <xf numFmtId="167" fontId="16" fillId="5" borderId="2" xfId="13" applyNumberFormat="1" applyFont="1" applyFill="1" applyBorder="1" applyAlignment="1">
      <alignment horizontal="center" vertical="center"/>
    </xf>
    <xf numFmtId="14" fontId="18" fillId="4" borderId="2" xfId="13" applyNumberFormat="1" applyFont="1" applyFill="1" applyBorder="1" applyAlignment="1">
      <alignment horizontal="center" vertical="center"/>
    </xf>
    <xf numFmtId="167" fontId="15" fillId="0" borderId="0" xfId="13" applyNumberFormat="1" applyFont="1" applyAlignment="1">
      <alignment vertical="center"/>
    </xf>
    <xf numFmtId="14" fontId="0" fillId="0" borderId="2" xfId="13" applyNumberFormat="1" applyFont="1" applyBorder="1" applyAlignment="1">
      <alignment horizontal="center"/>
    </xf>
    <xf numFmtId="14" fontId="9" fillId="0" borderId="2" xfId="13" applyNumberFormat="1" applyFont="1" applyBorder="1" applyAlignment="1">
      <alignment horizontal="center"/>
    </xf>
    <xf numFmtId="14" fontId="16" fillId="5" borderId="2" xfId="13" applyNumberFormat="1" applyFont="1" applyFill="1" applyBorder="1" applyAlignment="1">
      <alignment horizontal="center" vertical="center"/>
    </xf>
    <xf numFmtId="14" fontId="0" fillId="0" borderId="0" xfId="13" applyNumberFormat="1" applyFont="1" applyAlignment="1">
      <alignment horizontal="center"/>
    </xf>
    <xf numFmtId="0" fontId="20" fillId="0" borderId="7" xfId="0" applyFont="1" applyBorder="1" applyAlignment="1">
      <alignment horizontal="center" vertical="top"/>
    </xf>
    <xf numFmtId="14" fontId="20" fillId="5" borderId="2" xfId="0" applyNumberFormat="1" applyFont="1" applyFill="1" applyBorder="1" applyAlignment="1">
      <alignment horizontal="center" vertical="top"/>
    </xf>
    <xf numFmtId="0" fontId="20" fillId="0" borderId="7" xfId="0" applyFont="1" applyBorder="1" applyAlignment="1">
      <alignment vertical="top"/>
    </xf>
    <xf numFmtId="14" fontId="34" fillId="4" borderId="2" xfId="13" applyNumberFormat="1" applyFont="1" applyFill="1" applyBorder="1" applyAlignment="1">
      <alignment horizontal="center" vertical="top"/>
    </xf>
    <xf numFmtId="14" fontId="20" fillId="0" borderId="0" xfId="13" applyNumberFormat="1" applyFont="1" applyAlignment="1">
      <alignment vertical="top" wrapText="1"/>
    </xf>
    <xf numFmtId="0" fontId="20" fillId="0" borderId="2" xfId="0" applyFont="1" applyBorder="1" applyAlignment="1">
      <alignment vertical="top"/>
    </xf>
    <xf numFmtId="167" fontId="34" fillId="4" borderId="3" xfId="13" applyNumberFormat="1" applyFont="1" applyFill="1" applyBorder="1" applyAlignment="1">
      <alignment horizontal="center" vertical="top"/>
    </xf>
    <xf numFmtId="167" fontId="24" fillId="5" borderId="2" xfId="13" applyNumberFormat="1" applyFont="1" applyFill="1" applyBorder="1" applyAlignment="1">
      <alignment horizontal="center" vertical="top"/>
    </xf>
    <xf numFmtId="0" fontId="20" fillId="0" borderId="0" xfId="0" applyFont="1" applyAlignment="1">
      <alignment horizontal="center" vertical="top" wrapText="1"/>
    </xf>
    <xf numFmtId="14" fontId="0" fillId="0" borderId="2" xfId="13" applyNumberFormat="1" applyFont="1" applyBorder="1" applyAlignment="1">
      <alignment horizontal="center" vertical="center"/>
    </xf>
    <xf numFmtId="167" fontId="21" fillId="0" borderId="0" xfId="13" applyNumberFormat="1" applyFont="1" applyAlignment="1">
      <alignment vertical="top" wrapText="1"/>
    </xf>
    <xf numFmtId="167" fontId="30" fillId="4" borderId="3" xfId="13" applyNumberFormat="1" applyFont="1" applyFill="1" applyBorder="1" applyAlignment="1">
      <alignment horizontal="center" vertical="center"/>
    </xf>
    <xf numFmtId="167" fontId="26" fillId="0" borderId="2" xfId="13" applyNumberFormat="1" applyFont="1" applyBorder="1" applyAlignment="1"/>
    <xf numFmtId="167" fontId="26" fillId="5" borderId="2" xfId="13" applyNumberFormat="1" applyFont="1" applyFill="1" applyBorder="1" applyAlignment="1"/>
    <xf numFmtId="167" fontId="50" fillId="0" borderId="0" xfId="13" applyNumberFormat="1" applyFont="1" applyAlignment="1"/>
    <xf numFmtId="167" fontId="17" fillId="0" borderId="2" xfId="13" applyNumberFormat="1" applyFont="1" applyBorder="1" applyAlignment="1">
      <alignment vertical="center"/>
    </xf>
    <xf numFmtId="14" fontId="23" fillId="5" borderId="2" xfId="13" applyNumberFormat="1" applyFont="1" applyFill="1" applyBorder="1" applyAlignment="1">
      <alignment horizontal="center" vertical="center"/>
    </xf>
    <xf numFmtId="14" fontId="17" fillId="5" borderId="2" xfId="13" applyNumberFormat="1" applyFont="1" applyFill="1" applyBorder="1" applyAlignment="1">
      <alignment horizontal="center" vertical="center"/>
    </xf>
    <xf numFmtId="14" fontId="17" fillId="0" borderId="2" xfId="13" applyNumberFormat="1" applyFont="1" applyBorder="1" applyAlignment="1">
      <alignment horizontal="center" vertical="center"/>
    </xf>
    <xf numFmtId="14" fontId="17" fillId="0" borderId="0" xfId="13" applyNumberFormat="1" applyFont="1" applyAlignment="1">
      <alignment vertical="center"/>
    </xf>
    <xf numFmtId="169" fontId="17" fillId="0" borderId="2" xfId="0" applyNumberFormat="1" applyFont="1" applyBorder="1" applyAlignment="1">
      <alignment horizontal="center" vertical="center"/>
    </xf>
    <xf numFmtId="167" fontId="53" fillId="0" borderId="2" xfId="13" applyNumberFormat="1" applyFont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22">
    <cellStyle name="Normal 2" xfId="20"/>
    <cellStyle name="Вывод" xfId="21" builtinId="21"/>
    <cellStyle name="Гиперссылка" xfId="6" builtinId="8" customBuiltin="1"/>
    <cellStyle name="Дата таблицы" xfId="10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Название" xfId="1" builtinId="15" customBuiltin="1"/>
    <cellStyle name="Обычный" xfId="0" builtinId="0" customBuiltin="1"/>
    <cellStyle name="Обычный 2" xfId="17"/>
    <cellStyle name="Открывавшаяся гиперссылка" xfId="7" builtinId="9" customBuiltin="1"/>
    <cellStyle name="Процентный" xfId="14" builtinId="5"/>
    <cellStyle name="Сведения таблицы" xfId="8"/>
    <cellStyle name="Текст советов" xfId="12"/>
    <cellStyle name="Текст советов с отступом" xfId="11"/>
    <cellStyle name="Финансовый" xfId="13" builtinId="3"/>
    <cellStyle name="Финансовый 2" xfId="15"/>
    <cellStyle name="Финансовый 3" xfId="16"/>
    <cellStyle name="Финансовый 4" xfId="18"/>
    <cellStyle name="Финансовый 5" xfId="19"/>
    <cellStyle name="Числа таблицы" xfId="9"/>
  </cellStyles>
  <dxfs count="2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name val="Segoe UI"/>
        <scheme val="none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numFmt numFmtId="167" formatCode="_-* #,##0\ _₽_-;\-* #,##0\ _₽_-;_-* &quot;-&quot;??\ _₽_-;_-@_-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0" tint="-0.14996795556505021"/>
        </top>
        <bottom style="thin">
          <color theme="1" tint="0.499984740745262"/>
        </bottom>
        <vertical style="thin">
          <color theme="0" tint="-0.14996795556505021"/>
        </vertical>
        <horizontal/>
      </border>
    </dxf>
    <dxf>
      <font>
        <b/>
        <i val="0"/>
        <color theme="1"/>
      </font>
      <fill>
        <patternFill patternType="none">
          <bgColor auto="1"/>
        </patternFill>
      </fill>
      <border>
        <left/>
        <right/>
        <top style="thin">
          <color theme="1" tint="0.499984740745262"/>
        </top>
        <bottom style="thin">
          <color theme="0" tint="-0.14996795556505021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1" diagonalDown="0">
        <left/>
        <right/>
        <top/>
        <bottom/>
        <diagonal style="thin">
          <color theme="0" tint="-0.14993743705557422"/>
        </diagonal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Сводная таблица" defaultPivotStyle="PivotStyleLight16">
    <tableStyle name="styleCustomSlicer" pivot="0" table="0" count="10">
      <tableStyleElement type="wholeTable" dxfId="281"/>
      <tableStyleElement type="headerRow" dxfId="280"/>
    </tableStyle>
    <tableStyle name="Сводная таблица" pivot="0" count="6">
      <tableStyleElement type="wholeTable" dxfId="279"/>
      <tableStyleElement type="headerRow" dxfId="278"/>
      <tableStyleElement type="totalRow" dxfId="277"/>
      <tableStyleElement type="firstColumn" dxfId="276"/>
      <tableStyleElement type="lastColumn" dxfId="275"/>
      <tableStyleElement type="firstColumnStripe" dxfId="274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tyleCustom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5262940395872"/>
          <c:y val="2.6947425883085942E-2"/>
          <c:w val="0.78493401479090519"/>
          <c:h val="0.92504145841964913"/>
        </c:manualLayout>
      </c:layout>
      <c:barChart>
        <c:barDir val="col"/>
        <c:grouping val="clustered"/>
        <c:varyColors val="0"/>
        <c:ser>
          <c:idx val="49"/>
          <c:order val="0"/>
          <c:tx>
            <c:strRef>
              <c:f>сводка!$A$200</c:f>
              <c:strCache>
                <c:ptCount val="1"/>
                <c:pt idx="0">
                  <c:v>Перечесление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(сводка!$B$6:$M$6,сводка!$P$6)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Тенденции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сводка!$B$200:$N$200</c15:sqref>
                  </c15:fullRef>
                </c:ext>
              </c:extLst>
              <c:f>сводка!$B$200:$M$200</c:f>
              <c:numCache>
                <c:formatCode>#,##0.00</c:formatCode>
                <c:ptCount val="12"/>
                <c:pt idx="0">
                  <c:v>200268091</c:v>
                </c:pt>
                <c:pt idx="1">
                  <c:v>146477276</c:v>
                </c:pt>
                <c:pt idx="2">
                  <c:v>122834435</c:v>
                </c:pt>
                <c:pt idx="4">
                  <c:v>88561272</c:v>
                </c:pt>
                <c:pt idx="5">
                  <c:v>18423168</c:v>
                </c:pt>
                <c:pt idx="7">
                  <c:v>9964780</c:v>
                </c:pt>
                <c:pt idx="8">
                  <c:v>359802268</c:v>
                </c:pt>
                <c:pt idx="9">
                  <c:v>716614202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3-41C2-B45F-460EE14B97F6}"/>
            </c:ext>
          </c:extLst>
        </c:ser>
        <c:ser>
          <c:idx val="50"/>
          <c:order val="1"/>
          <c:tx>
            <c:strRef>
              <c:f>сводка!$A$201</c:f>
              <c:strCache>
                <c:ptCount val="1"/>
                <c:pt idx="0">
                  <c:v>Наличные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сводка!$B$6:$P$6</c15:sqref>
                  </c15:fullRef>
                </c:ext>
              </c:extLst>
              <c:f>(сводка!$B$6:$M$6,сводка!$P$6)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Тенденции</c:v>
                </c:pt>
                <c:pt idx="13">
                  <c:v>%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сводка!$B$201:$N$201</c15:sqref>
                  </c15:fullRef>
                </c:ext>
              </c:extLst>
              <c:f>сводка!$B$201:$M$201</c:f>
              <c:numCache>
                <c:formatCode>#,##0.00</c:formatCode>
                <c:ptCount val="12"/>
                <c:pt idx="0">
                  <c:v>642813793</c:v>
                </c:pt>
                <c:pt idx="1">
                  <c:v>781568154</c:v>
                </c:pt>
                <c:pt idx="2">
                  <c:v>189441206</c:v>
                </c:pt>
                <c:pt idx="3">
                  <c:v>95004338</c:v>
                </c:pt>
                <c:pt idx="4">
                  <c:v>0</c:v>
                </c:pt>
                <c:pt idx="5">
                  <c:v>7617932</c:v>
                </c:pt>
                <c:pt idx="6">
                  <c:v>222183696</c:v>
                </c:pt>
                <c:pt idx="7">
                  <c:v>1210350000</c:v>
                </c:pt>
                <c:pt idx="8">
                  <c:v>765434042.58000004</c:v>
                </c:pt>
                <c:pt idx="9">
                  <c:v>472224577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3-41C2-B45F-460EE14B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76568"/>
        <c:axId val="134075784"/>
      </c:barChart>
      <c:catAx>
        <c:axId val="1340765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134075784"/>
        <c:crosses val="autoZero"/>
        <c:auto val="1"/>
        <c:lblAlgn val="ctr"/>
        <c:lblOffset val="100"/>
        <c:noMultiLvlLbl val="0"/>
      </c:catAx>
      <c:valAx>
        <c:axId val="13407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30000"/>
                </a:schemeClr>
              </a:solidFill>
              <a:prstDash val="solid"/>
              <a:round/>
            </a:ln>
            <a:effectLst/>
          </c:spPr>
        </c:majorGridlines>
        <c:numFmt formatCode="#,##0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930606811344781"/>
          <c:y val="3.3131046607553893E-2"/>
          <c:w val="9.6001926666748824E-2"/>
          <c:h val="0.24770791388073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0" spc="-1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5262940395872"/>
          <c:y val="2.6947425883085942E-2"/>
          <c:w val="0.78493401479090519"/>
          <c:h val="0.92504145841964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сводка!$A$7</c:f>
              <c:strCache>
                <c:ptCount val="1"/>
                <c:pt idx="0">
                  <c:v>Akbayir Story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сводка!$B$7:$N$7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13940000</c:v>
                </c:pt>
                <c:pt idx="8">
                  <c:v>0</c:v>
                </c:pt>
                <c:pt idx="9">
                  <c:v>0</c:v>
                </c:pt>
                <c:pt idx="12">
                  <c:v>13940000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277-464B-9690-026D95CA1400}"/>
            </c:ext>
          </c:extLst>
        </c:ser>
        <c:ser>
          <c:idx val="1"/>
          <c:order val="1"/>
          <c:tx>
            <c:strRef>
              <c:f>сводка!$A$8</c:f>
              <c:strCache>
                <c:ptCount val="1"/>
                <c:pt idx="0">
                  <c:v>Akfa Dream World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сводка!$B$8:$N$8</c:f>
              <c:numCache>
                <c:formatCode>#,##0.00</c:formatCode>
                <c:ptCount val="13"/>
                <c:pt idx="0">
                  <c:v>8343547</c:v>
                </c:pt>
                <c:pt idx="1">
                  <c:v>5231052</c:v>
                </c:pt>
                <c:pt idx="2">
                  <c:v>17918226</c:v>
                </c:pt>
                <c:pt idx="3">
                  <c:v>19992000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13150000</c:v>
                </c:pt>
                <c:pt idx="8">
                  <c:v>4090917</c:v>
                </c:pt>
                <c:pt idx="9">
                  <c:v>32172449</c:v>
                </c:pt>
                <c:pt idx="12">
                  <c:v>100898191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277-464B-9690-026D95CA1400}"/>
            </c:ext>
          </c:extLst>
        </c:ser>
        <c:ser>
          <c:idx val="2"/>
          <c:order val="2"/>
          <c:tx>
            <c:strRef>
              <c:f>сводка!$A$9</c:f>
              <c:strCache>
                <c:ptCount val="1"/>
                <c:pt idx="0">
                  <c:v>Akfa Medline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сводка!$B$9:$N$9</c:f>
            </c:numRef>
          </c:val>
          <c:extLst>
            <c:ext xmlns:c16="http://schemas.microsoft.com/office/drawing/2014/chart" uri="{C3380CC4-5D6E-409C-BE32-E72D297353CC}">
              <c16:uniqueId val="{0000003B-8277-464B-9690-026D95CA1400}"/>
            </c:ext>
          </c:extLst>
        </c:ser>
        <c:ser>
          <c:idx val="3"/>
          <c:order val="3"/>
          <c:tx>
            <c:strRef>
              <c:f>сводка!$A$10</c:f>
              <c:strCache>
                <c:ptCount val="1"/>
                <c:pt idx="0">
                  <c:v>Allegro Development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сводка!$B$10:$N$10</c:f>
              <c:numCache>
                <c:formatCode>#,##0.00</c:formatCode>
                <c:ptCount val="13"/>
                <c:pt idx="0">
                  <c:v>9980394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6222586</c:v>
                </c:pt>
                <c:pt idx="9">
                  <c:v>0</c:v>
                </c:pt>
                <c:pt idx="12">
                  <c:v>16202980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277-464B-9690-026D95CA1400}"/>
            </c:ext>
          </c:extLst>
        </c:ser>
        <c:ser>
          <c:idx val="4"/>
          <c:order val="4"/>
          <c:tx>
            <c:strRef>
              <c:f>сводка!$A$11</c:f>
              <c:strCache>
                <c:ptCount val="1"/>
                <c:pt idx="0">
                  <c:v>Altair Building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сводка!$B$11:$N$11</c:f>
            </c:numRef>
          </c:val>
          <c:extLst>
            <c:ext xmlns:c16="http://schemas.microsoft.com/office/drawing/2014/chart" uri="{C3380CC4-5D6E-409C-BE32-E72D297353CC}">
              <c16:uniqueId val="{0000003D-8277-464B-9690-026D95CA1400}"/>
            </c:ext>
          </c:extLst>
        </c:ser>
        <c:ser>
          <c:idx val="5"/>
          <c:order val="5"/>
          <c:tx>
            <c:strRef>
              <c:f>сводка!$A$12</c:f>
              <c:strCache>
                <c:ptCount val="1"/>
                <c:pt idx="0">
                  <c:v>Art Invention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сводка!$B$12:$N$12</c:f>
            </c:numRef>
          </c:val>
          <c:extLst>
            <c:ext xmlns:c16="http://schemas.microsoft.com/office/drawing/2014/chart" uri="{C3380CC4-5D6E-409C-BE32-E72D297353CC}">
              <c16:uniqueId val="{0000003E-8277-464B-9690-026D95CA1400}"/>
            </c:ext>
          </c:extLst>
        </c:ser>
        <c:ser>
          <c:idx val="6"/>
          <c:order val="6"/>
          <c:tx>
            <c:strRef>
              <c:f>сводка!$A$13</c:f>
              <c:strCache>
                <c:ptCount val="1"/>
                <c:pt idx="0">
                  <c:v>Suv Proekt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сводка!$B$13:$N$13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23662336</c:v>
                </c:pt>
                <c:pt idx="9">
                  <c:v>0</c:v>
                </c:pt>
                <c:pt idx="12">
                  <c:v>23662336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277-464B-9690-026D95CA1400}"/>
            </c:ext>
          </c:extLst>
        </c:ser>
        <c:ser>
          <c:idx val="7"/>
          <c:order val="7"/>
          <c:tx>
            <c:strRef>
              <c:f>сводка!$A$14</c:f>
              <c:strCache>
                <c:ptCount val="1"/>
                <c:pt idx="0">
                  <c:v>Bogcha Proekt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сводка!$B$14:$N$14</c:f>
              <c:numCache>
                <c:formatCode>#,##0.00</c:formatCode>
                <c:ptCount val="13"/>
                <c:pt idx="0">
                  <c:v>66994063</c:v>
                </c:pt>
                <c:pt idx="1">
                  <c:v>33480290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100474353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277-464B-9690-026D95CA1400}"/>
            </c:ext>
          </c:extLst>
        </c:ser>
        <c:ser>
          <c:idx val="8"/>
          <c:order val="8"/>
          <c:tx>
            <c:strRef>
              <c:f>сводка!$A$15</c:f>
              <c:strCache>
                <c:ptCount val="1"/>
                <c:pt idx="0">
                  <c:v>Bukhara Palace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сводка!$B$15:$N$15</c:f>
            </c:numRef>
          </c:val>
          <c:extLst>
            <c:ext xmlns:c16="http://schemas.microsoft.com/office/drawing/2014/chart" uri="{C3380CC4-5D6E-409C-BE32-E72D297353CC}">
              <c16:uniqueId val="{00000041-8277-464B-9690-026D95CA1400}"/>
            </c:ext>
          </c:extLst>
        </c:ser>
        <c:ser>
          <c:idx val="9"/>
          <c:order val="9"/>
          <c:tx>
            <c:strRef>
              <c:f>сводка!$A$16</c:f>
              <c:strCache>
                <c:ptCount val="1"/>
                <c:pt idx="0">
                  <c:v>City Makon 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сводка!$B$16:$N$16</c:f>
              <c:numCache>
                <c:formatCode>#,##0.00</c:formatCode>
                <c:ptCount val="13"/>
                <c:pt idx="0">
                  <c:v>295634908</c:v>
                </c:pt>
                <c:pt idx="1">
                  <c:v>299739427</c:v>
                </c:pt>
                <c:pt idx="2">
                  <c:v>74751243</c:v>
                </c:pt>
                <c:pt idx="3">
                  <c:v>0</c:v>
                </c:pt>
                <c:pt idx="4">
                  <c:v>0</c:v>
                </c:pt>
                <c:pt idx="5">
                  <c:v>2616562</c:v>
                </c:pt>
                <c:pt idx="6">
                  <c:v>0</c:v>
                </c:pt>
                <c:pt idx="7">
                  <c:v>0</c:v>
                </c:pt>
                <c:pt idx="8">
                  <c:v>158146114</c:v>
                </c:pt>
                <c:pt idx="9">
                  <c:v>241087491</c:v>
                </c:pt>
                <c:pt idx="12">
                  <c:v>1071975745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8277-464B-9690-026D95CA1400}"/>
            </c:ext>
          </c:extLst>
        </c:ser>
        <c:ser>
          <c:idx val="10"/>
          <c:order val="10"/>
          <c:tx>
            <c:strRef>
              <c:f>сводка!$A$17</c:f>
              <c:strCache>
                <c:ptCount val="1"/>
                <c:pt idx="0">
                  <c:v>City Net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сводка!$B$17:$N$17</c:f>
              <c:numCache>
                <c:formatCode>#,##0.00</c:formatCode>
                <c:ptCount val="13"/>
                <c:pt idx="0">
                  <c:v>0</c:v>
                </c:pt>
                <c:pt idx="1">
                  <c:v>60787877</c:v>
                </c:pt>
                <c:pt idx="2">
                  <c:v>1093578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39374842</c:v>
                </c:pt>
                <c:pt idx="9">
                  <c:v>9238026</c:v>
                </c:pt>
                <c:pt idx="12">
                  <c:v>110494323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8277-464B-9690-026D95CA1400}"/>
            </c:ext>
          </c:extLst>
        </c:ser>
        <c:ser>
          <c:idx val="11"/>
          <c:order val="11"/>
          <c:tx>
            <c:strRef>
              <c:f>сводка!$A$18</c:f>
              <c:strCache>
                <c:ptCount val="1"/>
                <c:pt idx="0">
                  <c:v>Congress Hall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сводка!$B$18:$N$18</c:f>
            </c:numRef>
          </c:val>
          <c:extLst>
            <c:ext xmlns:c16="http://schemas.microsoft.com/office/drawing/2014/chart" uri="{C3380CC4-5D6E-409C-BE32-E72D297353CC}">
              <c16:uniqueId val="{00000044-8277-464B-9690-026D95CA1400}"/>
            </c:ext>
          </c:extLst>
        </c:ser>
        <c:ser>
          <c:idx val="12"/>
          <c:order val="12"/>
          <c:tx>
            <c:strRef>
              <c:f>сводка!$A$19</c:f>
              <c:strCache>
                <c:ptCount val="1"/>
                <c:pt idx="0">
                  <c:v>Constant Cemeils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сводка!$B$19:$N$19</c:f>
              <c:numCache>
                <c:formatCode>#,##0.00</c:formatCode>
                <c:ptCount val="13"/>
                <c:pt idx="0">
                  <c:v>0</c:v>
                </c:pt>
                <c:pt idx="1">
                  <c:v>14354087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14354087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8277-464B-9690-026D95CA1400}"/>
            </c:ext>
          </c:extLst>
        </c:ser>
        <c:ser>
          <c:idx val="13"/>
          <c:order val="13"/>
          <c:tx>
            <c:strRef>
              <c:f>сводка!$A$20</c:f>
              <c:strCache>
                <c:ptCount val="1"/>
                <c:pt idx="0">
                  <c:v>Crafers 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сводка!$B$20:$N$20</c:f>
            </c:numRef>
          </c:val>
          <c:extLst>
            <c:ext xmlns:c16="http://schemas.microsoft.com/office/drawing/2014/chart" uri="{C3380CC4-5D6E-409C-BE32-E72D297353CC}">
              <c16:uniqueId val="{00000046-8277-464B-9690-026D95CA1400}"/>
            </c:ext>
          </c:extLst>
        </c:ser>
        <c:ser>
          <c:idx val="14"/>
          <c:order val="14"/>
          <c:tx>
            <c:strRef>
              <c:f>сводка!$A$21</c:f>
              <c:strCache>
                <c:ptCount val="1"/>
                <c:pt idx="0">
                  <c:v>Crystal Paint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сводка!$B$21:$N$21</c:f>
              <c:numCache>
                <c:formatCode>#,##0.00</c:formatCode>
                <c:ptCount val="13"/>
                <c:pt idx="0">
                  <c:v>32389244</c:v>
                </c:pt>
                <c:pt idx="1">
                  <c:v>9220436</c:v>
                </c:pt>
                <c:pt idx="2">
                  <c:v>13916388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55526068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8277-464B-9690-026D95CA1400}"/>
            </c:ext>
          </c:extLst>
        </c:ser>
        <c:ser>
          <c:idx val="15"/>
          <c:order val="15"/>
          <c:tx>
            <c:strRef>
              <c:f>сводка!$A$22</c:f>
              <c:strCache>
                <c:ptCount val="1"/>
                <c:pt idx="0">
                  <c:v>Di Construction Management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сводка!$B$22:$N$22</c:f>
              <c:numCache>
                <c:formatCode>#,##0.00</c:formatCode>
                <c:ptCount val="13"/>
                <c:pt idx="0">
                  <c:v>0</c:v>
                </c:pt>
                <c:pt idx="1">
                  <c:v>44644004</c:v>
                </c:pt>
                <c:pt idx="2">
                  <c:v>9167396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53811400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277-464B-9690-026D95CA1400}"/>
            </c:ext>
          </c:extLst>
        </c:ser>
        <c:ser>
          <c:idx val="16"/>
          <c:order val="16"/>
          <c:tx>
            <c:strRef>
              <c:f>сводка!$A$23</c:f>
              <c:strCache>
                <c:ptCount val="1"/>
                <c:pt idx="0">
                  <c:v>Discover Invest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сводка!$B$23:$N$23</c:f>
              <c:numCache>
                <c:formatCode>#,##0.00</c:formatCode>
                <c:ptCount val="13"/>
                <c:pt idx="0">
                  <c:v>0</c:v>
                </c:pt>
                <c:pt idx="1">
                  <c:v>2831648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18423168</c:v>
                </c:pt>
                <c:pt idx="6">
                  <c:v>45326322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66581138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8277-464B-9690-026D95CA1400}"/>
            </c:ext>
          </c:extLst>
        </c:ser>
        <c:ser>
          <c:idx val="17"/>
          <c:order val="17"/>
          <c:tx>
            <c:strRef>
              <c:f>сводка!$A$24</c:f>
              <c:strCache>
                <c:ptCount val="1"/>
                <c:pt idx="0">
                  <c:v>Dream City Development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сводка!$B$24:$N$24</c:f>
              <c:numCache>
                <c:formatCode>#,##0.00</c:formatCode>
                <c:ptCount val="13"/>
                <c:pt idx="0">
                  <c:v>23410142</c:v>
                </c:pt>
                <c:pt idx="1">
                  <c:v>36908052</c:v>
                </c:pt>
                <c:pt idx="2">
                  <c:v>12015077</c:v>
                </c:pt>
                <c:pt idx="3">
                  <c:v>0</c:v>
                </c:pt>
                <c:pt idx="4">
                  <c:v>7931000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28139970</c:v>
                </c:pt>
                <c:pt idx="9">
                  <c:v>18415727</c:v>
                </c:pt>
                <c:pt idx="12">
                  <c:v>126819968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8277-464B-9690-026D95CA1400}"/>
            </c:ext>
          </c:extLst>
        </c:ser>
        <c:ser>
          <c:idx val="18"/>
          <c:order val="18"/>
          <c:tx>
            <c:strRef>
              <c:f>сводка!$A$25</c:f>
              <c:strCache>
                <c:ptCount val="1"/>
                <c:pt idx="0">
                  <c:v>Durable Group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сводка!$B$25:$N$25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412206000</c:v>
                </c:pt>
                <c:pt idx="8">
                  <c:v>0</c:v>
                </c:pt>
                <c:pt idx="9">
                  <c:v>0</c:v>
                </c:pt>
                <c:pt idx="12">
                  <c:v>412206000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8277-464B-9690-026D95CA1400}"/>
            </c:ext>
          </c:extLst>
        </c:ser>
        <c:ser>
          <c:idx val="19"/>
          <c:order val="19"/>
          <c:tx>
            <c:strRef>
              <c:f>сводка!$A$26</c:f>
              <c:strCache>
                <c:ptCount val="1"/>
                <c:pt idx="0">
                  <c:v>Durable Beton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сводка!$B$26:$N$26</c:f>
              <c:numCache>
                <c:formatCode>#,##0.00</c:formatCode>
                <c:ptCount val="13"/>
                <c:pt idx="0">
                  <c:v>0</c:v>
                </c:pt>
                <c:pt idx="1">
                  <c:v>10564401</c:v>
                </c:pt>
                <c:pt idx="2">
                  <c:v>9833543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90348536</c:v>
                </c:pt>
                <c:pt idx="12">
                  <c:v>110746480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8277-464B-9690-026D95CA1400}"/>
            </c:ext>
          </c:extLst>
        </c:ser>
        <c:ser>
          <c:idx val="20"/>
          <c:order val="20"/>
          <c:tx>
            <c:strRef>
              <c:f>сводка!$A$27</c:f>
              <c:strCache>
                <c:ptCount val="1"/>
                <c:pt idx="0">
                  <c:v>Gold Moon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сводка!$B$27:$N$27</c:f>
              <c:numCache>
                <c:formatCode>#,##0.00</c:formatCode>
                <c:ptCount val="13"/>
                <c:pt idx="0">
                  <c:v>51399084</c:v>
                </c:pt>
                <c:pt idx="1">
                  <c:v>36921155</c:v>
                </c:pt>
                <c:pt idx="2">
                  <c:v>3398439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4989197</c:v>
                </c:pt>
                <c:pt idx="7">
                  <c:v>97230000</c:v>
                </c:pt>
                <c:pt idx="8">
                  <c:v>13926484</c:v>
                </c:pt>
                <c:pt idx="9">
                  <c:v>55978300</c:v>
                </c:pt>
                <c:pt idx="12">
                  <c:v>263842659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8277-464B-9690-026D95CA1400}"/>
            </c:ext>
          </c:extLst>
        </c:ser>
        <c:ser>
          <c:idx val="21"/>
          <c:order val="21"/>
          <c:tx>
            <c:strRef>
              <c:f>сводка!$A$28</c:f>
              <c:strCache>
                <c:ptCount val="1"/>
                <c:pt idx="0">
                  <c:v>Gordor-Proplan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сводка!$B$28:$N$28</c:f>
            </c:numRef>
          </c:val>
          <c:extLst>
            <c:ext xmlns:c16="http://schemas.microsoft.com/office/drawing/2014/chart" uri="{C3380CC4-5D6E-409C-BE32-E72D297353CC}">
              <c16:uniqueId val="{0000004E-8277-464B-9690-026D95CA1400}"/>
            </c:ext>
          </c:extLst>
        </c:ser>
        <c:ser>
          <c:idx val="22"/>
          <c:order val="22"/>
          <c:tx>
            <c:strRef>
              <c:f>сводка!$A$29</c:f>
              <c:strCache>
                <c:ptCount val="1"/>
                <c:pt idx="0">
                  <c:v>Grand Road Tashkent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сводка!$B$29:$N$29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119357883</c:v>
                </c:pt>
                <c:pt idx="7">
                  <c:v>0</c:v>
                </c:pt>
                <c:pt idx="8">
                  <c:v>236799613</c:v>
                </c:pt>
                <c:pt idx="9">
                  <c:v>29564798</c:v>
                </c:pt>
                <c:pt idx="12">
                  <c:v>385722294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8277-464B-9690-026D95CA1400}"/>
            </c:ext>
          </c:extLst>
        </c:ser>
        <c:ser>
          <c:idx val="23"/>
          <c:order val="23"/>
          <c:tx>
            <c:strRef>
              <c:f>сводка!$A$30</c:f>
              <c:strCache>
                <c:ptCount val="1"/>
                <c:pt idx="0">
                  <c:v>Beruniy Muz Saroy 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сводка!$B$30:$N$30</c:f>
              <c:numCache>
                <c:formatCode>#,##0.00</c:formatCode>
                <c:ptCount val="13"/>
                <c:pt idx="0">
                  <c:v>0</c:v>
                </c:pt>
                <c:pt idx="1">
                  <c:v>19555624</c:v>
                </c:pt>
                <c:pt idx="2">
                  <c:v>63834450</c:v>
                </c:pt>
                <c:pt idx="3">
                  <c:v>42338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83432412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8277-464B-9690-026D95CA1400}"/>
            </c:ext>
          </c:extLst>
        </c:ser>
        <c:ser>
          <c:idx val="24"/>
          <c:order val="24"/>
          <c:tx>
            <c:strRef>
              <c:f>сводка!$A$31</c:f>
              <c:strCache>
                <c:ptCount val="1"/>
                <c:pt idx="0">
                  <c:v>Green Zone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сводка!$B$31:$N$31</c:f>
              <c:numCache>
                <c:formatCode>#,##0.00</c:formatCode>
                <c:ptCount val="13"/>
                <c:pt idx="0">
                  <c:v>10486321</c:v>
                </c:pt>
                <c:pt idx="1">
                  <c:v>32060014</c:v>
                </c:pt>
                <c:pt idx="2">
                  <c:v>3298330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37393693</c:v>
                </c:pt>
                <c:pt idx="7">
                  <c:v>0</c:v>
                </c:pt>
                <c:pt idx="8">
                  <c:v>0</c:v>
                </c:pt>
                <c:pt idx="9">
                  <c:v>14258211</c:v>
                </c:pt>
                <c:pt idx="12">
                  <c:v>97496569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8277-464B-9690-026D95CA1400}"/>
            </c:ext>
          </c:extLst>
        </c:ser>
        <c:ser>
          <c:idx val="25"/>
          <c:order val="25"/>
          <c:tx>
            <c:strRef>
              <c:f>сводка!$A$32</c:f>
              <c:strCache>
                <c:ptCount val="1"/>
                <c:pt idx="0">
                  <c:v>Modern Alliance Stroe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сводка!$B$32:$N$32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7099185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7099185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8277-464B-9690-026D95CA1400}"/>
            </c:ext>
          </c:extLst>
        </c:ser>
        <c:ser>
          <c:idx val="26"/>
          <c:order val="26"/>
          <c:tx>
            <c:strRef>
              <c:f>сводка!$A$33</c:f>
              <c:strCache>
                <c:ptCount val="1"/>
                <c:pt idx="0">
                  <c:v>Invento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сводка!$B$33:$N$33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39242390</c:v>
                </c:pt>
                <c:pt idx="8">
                  <c:v>39008714</c:v>
                </c:pt>
                <c:pt idx="9">
                  <c:v>10197352</c:v>
                </c:pt>
                <c:pt idx="12">
                  <c:v>88448456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8277-464B-9690-026D95CA1400}"/>
            </c:ext>
          </c:extLst>
        </c:ser>
        <c:ser>
          <c:idx val="27"/>
          <c:order val="27"/>
          <c:tx>
            <c:strRef>
              <c:f>сводка!$A$34</c:f>
              <c:strCache>
                <c:ptCount val="1"/>
                <c:pt idx="0">
                  <c:v>Green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сводка!$B$34:$N$34</c:f>
              <c:numCache>
                <c:formatCode>#,##0.00</c:formatCode>
                <c:ptCount val="13"/>
                <c:pt idx="0">
                  <c:v>8975604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8975604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8277-464B-9690-026D95CA1400}"/>
            </c:ext>
          </c:extLst>
        </c:ser>
        <c:ser>
          <c:idx val="28"/>
          <c:order val="28"/>
          <c:tx>
            <c:strRef>
              <c:f>сводка!$A$35</c:f>
              <c:strCache>
                <c:ptCount val="1"/>
                <c:pt idx="0">
                  <c:v>Green Trade Export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сводка!$B$35:$N$35</c:f>
              <c:numCache>
                <c:formatCode>#,##0.00</c:formatCode>
                <c:ptCount val="13"/>
                <c:pt idx="0">
                  <c:v>10930359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10930359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8277-464B-9690-026D95CA1400}"/>
            </c:ext>
          </c:extLst>
        </c:ser>
        <c:ser>
          <c:idx val="29"/>
          <c:order val="29"/>
          <c:tx>
            <c:strRef>
              <c:f>сводка!$A$36</c:f>
              <c:strCache>
                <c:ptCount val="1"/>
                <c:pt idx="0">
                  <c:v>High Land City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сводка!$B$36:$N$36</c:f>
              <c:numCache>
                <c:formatCode>#,##0.00</c:formatCode>
                <c:ptCount val="13"/>
                <c:pt idx="0">
                  <c:v>60393523</c:v>
                </c:pt>
                <c:pt idx="1">
                  <c:v>9092476</c:v>
                </c:pt>
                <c:pt idx="2">
                  <c:v>0</c:v>
                </c:pt>
                <c:pt idx="3">
                  <c:v>0</c:v>
                </c:pt>
                <c:pt idx="4">
                  <c:v>17528320</c:v>
                </c:pt>
                <c:pt idx="5">
                  <c:v>0</c:v>
                </c:pt>
                <c:pt idx="6">
                  <c:v>0</c:v>
                </c:pt>
                <c:pt idx="7">
                  <c:v>41060000</c:v>
                </c:pt>
                <c:pt idx="8">
                  <c:v>0</c:v>
                </c:pt>
                <c:pt idx="9">
                  <c:v>0</c:v>
                </c:pt>
                <c:pt idx="12">
                  <c:v>128074319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8277-464B-9690-026D95CA1400}"/>
            </c:ext>
          </c:extLst>
        </c:ser>
        <c:ser>
          <c:idx val="30"/>
          <c:order val="30"/>
          <c:tx>
            <c:strRef>
              <c:f>сводка!$A$37</c:f>
              <c:strCache>
                <c:ptCount val="1"/>
                <c:pt idx="0">
                  <c:v>Hilton Hotel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сводка!$B$37:$N$37</c:f>
            </c:numRef>
          </c:val>
          <c:extLst>
            <c:ext xmlns:c16="http://schemas.microsoft.com/office/drawing/2014/chart" uri="{C3380CC4-5D6E-409C-BE32-E72D297353CC}">
              <c16:uniqueId val="{00000057-8277-464B-9690-026D95CA1400}"/>
            </c:ext>
          </c:extLst>
        </c:ser>
        <c:ser>
          <c:idx val="31"/>
          <c:order val="31"/>
          <c:tx>
            <c:strRef>
              <c:f>сводка!$A$38</c:f>
              <c:strCache>
                <c:ptCount val="1"/>
                <c:pt idx="0">
                  <c:v>Hokimiyat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сводка!$B$38:$N$38</c:f>
              <c:numCache>
                <c:formatCode>#,##0.00</c:formatCode>
                <c:ptCount val="13"/>
                <c:pt idx="0">
                  <c:v>3747380</c:v>
                </c:pt>
                <c:pt idx="1">
                  <c:v>23655998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27403378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8277-464B-9690-026D95CA1400}"/>
            </c:ext>
          </c:extLst>
        </c:ser>
        <c:ser>
          <c:idx val="32"/>
          <c:order val="32"/>
          <c:tx>
            <c:strRef>
              <c:f>сводка!$A$39</c:f>
              <c:strCache>
                <c:ptCount val="1"/>
                <c:pt idx="0">
                  <c:v>KFC Hotel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сводка!$B$39:$N$39</c:f>
            </c:numRef>
          </c:val>
          <c:extLst>
            <c:ext xmlns:c16="http://schemas.microsoft.com/office/drawing/2014/chart" uri="{C3380CC4-5D6E-409C-BE32-E72D297353CC}">
              <c16:uniqueId val="{00000059-8277-464B-9690-026D95CA1400}"/>
            </c:ext>
          </c:extLst>
        </c:ser>
        <c:ser>
          <c:idx val="33"/>
          <c:order val="33"/>
          <c:tx>
            <c:strRef>
              <c:f>сводка!$A$40</c:f>
              <c:strCache>
                <c:ptCount val="1"/>
                <c:pt idx="0">
                  <c:v>Manzarali gullar va daraxtlar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сводка!$B$40:$N$40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8286232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3692403</c:v>
                </c:pt>
                <c:pt idx="9">
                  <c:v>16562469</c:v>
                </c:pt>
                <c:pt idx="12">
                  <c:v>28541104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8277-464B-9690-026D95CA1400}"/>
            </c:ext>
          </c:extLst>
        </c:ser>
        <c:ser>
          <c:idx val="34"/>
          <c:order val="34"/>
          <c:tx>
            <c:strRef>
              <c:f>сводка!$A$41</c:f>
              <c:strCache>
                <c:ptCount val="1"/>
                <c:pt idx="0">
                  <c:v>Mimar Group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сводка!$B$41:$N$41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434510000</c:v>
                </c:pt>
                <c:pt idx="8">
                  <c:v>333714857</c:v>
                </c:pt>
                <c:pt idx="9">
                  <c:v>178902199</c:v>
                </c:pt>
                <c:pt idx="12">
                  <c:v>947127056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8277-464B-9690-026D95CA1400}"/>
            </c:ext>
          </c:extLst>
        </c:ser>
        <c:ser>
          <c:idx val="35"/>
          <c:order val="35"/>
          <c:tx>
            <c:strRef>
              <c:f>сводка!$A$42</c:f>
              <c:strCache>
                <c:ptCount val="1"/>
                <c:pt idx="0">
                  <c:v>Master Pack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сводка!$B$42:$N$42</c:f>
            </c:numRef>
          </c:val>
          <c:extLst>
            <c:ext xmlns:c16="http://schemas.microsoft.com/office/drawing/2014/chart" uri="{C3380CC4-5D6E-409C-BE32-E72D297353CC}">
              <c16:uniqueId val="{0000005C-8277-464B-9690-026D95CA1400}"/>
            </c:ext>
          </c:extLst>
        </c:ser>
        <c:ser>
          <c:idx val="36"/>
          <c:order val="36"/>
          <c:tx>
            <c:strRef>
              <c:f>сводка!$A$43</c:f>
              <c:strCache>
                <c:ptCount val="1"/>
                <c:pt idx="0">
                  <c:v>Milliy Bog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сводка!$B$43:$N$43</c:f>
              <c:numCache>
                <c:formatCode>#,##0.00</c:formatCode>
                <c:ptCount val="13"/>
                <c:pt idx="0">
                  <c:v>92113144</c:v>
                </c:pt>
                <c:pt idx="1">
                  <c:v>67947318</c:v>
                </c:pt>
                <c:pt idx="2">
                  <c:v>6610575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166671037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8277-464B-9690-026D95CA1400}"/>
            </c:ext>
          </c:extLst>
        </c:ser>
        <c:ser>
          <c:idx val="37"/>
          <c:order val="37"/>
          <c:tx>
            <c:strRef>
              <c:f>сводка!$A$44</c:f>
              <c:strCache>
                <c:ptCount val="1"/>
                <c:pt idx="0">
                  <c:v>Mirzo Ulugbek City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сводка!$B$44:$N$44</c:f>
            </c:numRef>
          </c:val>
          <c:extLst>
            <c:ext xmlns:c16="http://schemas.microsoft.com/office/drawing/2014/chart" uri="{C3380CC4-5D6E-409C-BE32-E72D297353CC}">
              <c16:uniqueId val="{0000005E-8277-464B-9690-026D95CA1400}"/>
            </c:ext>
          </c:extLst>
        </c:ser>
        <c:ser>
          <c:idx val="38"/>
          <c:order val="38"/>
          <c:tx>
            <c:strRef>
              <c:f>сводка!$A$45</c:f>
              <c:strCache>
                <c:ptCount val="1"/>
                <c:pt idx="0">
                  <c:v>Nukus City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сводка!$B$45:$N$45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57846214</c:v>
                </c:pt>
                <c:pt idx="12">
                  <c:v>57846214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8277-464B-9690-026D95CA1400}"/>
            </c:ext>
          </c:extLst>
        </c:ser>
        <c:ser>
          <c:idx val="39"/>
          <c:order val="39"/>
          <c:tx>
            <c:strRef>
              <c:f>сводка!$A$46</c:f>
              <c:strCache>
                <c:ptCount val="1"/>
                <c:pt idx="0">
                  <c:v>Olmazor City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сводка!$B$46:$N$46</c:f>
              <c:numCache>
                <c:formatCode>#,##0.00</c:formatCode>
                <c:ptCount val="13"/>
                <c:pt idx="0">
                  <c:v>28371966</c:v>
                </c:pt>
                <c:pt idx="1">
                  <c:v>36132933</c:v>
                </c:pt>
                <c:pt idx="2">
                  <c:v>23665130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13325000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101495029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8277-464B-9690-026D95CA1400}"/>
            </c:ext>
          </c:extLst>
        </c:ser>
        <c:ser>
          <c:idx val="40"/>
          <c:order val="40"/>
          <c:tx>
            <c:strRef>
              <c:f>сводка!$A$47</c:f>
              <c:strCache>
                <c:ptCount val="1"/>
                <c:pt idx="0">
                  <c:v>Olmazor Savdo Bo'limi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сводка!$B$47:$N$47</c:f>
              <c:numCache>
                <c:formatCode>#,##0.00</c:formatCode>
                <c:ptCount val="13"/>
                <c:pt idx="0">
                  <c:v>4613124</c:v>
                </c:pt>
                <c:pt idx="1">
                  <c:v>45349028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49962152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8277-464B-9690-026D95CA1400}"/>
            </c:ext>
          </c:extLst>
        </c:ser>
        <c:ser>
          <c:idx val="41"/>
          <c:order val="41"/>
          <c:tx>
            <c:strRef>
              <c:f>сводка!$A$48</c:f>
              <c:strCache>
                <c:ptCount val="1"/>
                <c:pt idx="0">
                  <c:v>Stargate System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сводка!$B$48:$N$48</c:f>
            </c:numRef>
          </c:val>
          <c:extLst>
            <c:ext xmlns:c16="http://schemas.microsoft.com/office/drawing/2014/chart" uri="{C3380CC4-5D6E-409C-BE32-E72D297353CC}">
              <c16:uniqueId val="{00000062-8277-464B-9690-026D95CA1400}"/>
            </c:ext>
          </c:extLst>
        </c:ser>
        <c:ser>
          <c:idx val="42"/>
          <c:order val="42"/>
          <c:tx>
            <c:strRef>
              <c:f>сводка!$A$49</c:f>
              <c:strCache>
                <c:ptCount val="1"/>
                <c:pt idx="0">
                  <c:v>Premium Village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сводка!$B$49:$N$49</c:f>
              <c:numCache>
                <c:formatCode>#,##0.00</c:formatCode>
                <c:ptCount val="13"/>
                <c:pt idx="0">
                  <c:v>0</c:v>
                </c:pt>
                <c:pt idx="1">
                  <c:v>15856672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15856672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8277-464B-9690-026D95CA1400}"/>
            </c:ext>
          </c:extLst>
        </c:ser>
        <c:ser>
          <c:idx val="43"/>
          <c:order val="43"/>
          <c:tx>
            <c:strRef>
              <c:f>сводка!$A$50</c:f>
              <c:strCache>
                <c:ptCount val="1"/>
                <c:pt idx="0">
                  <c:v>Prime Tower 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сводка!$B$50:$N$50</c:f>
              <c:numCache>
                <c:formatCode>#,##0.00</c:formatCode>
                <c:ptCount val="13"/>
                <c:pt idx="0">
                  <c:v>26175716</c:v>
                </c:pt>
                <c:pt idx="1">
                  <c:v>14590085</c:v>
                </c:pt>
                <c:pt idx="2">
                  <c:v>4006999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4812839</c:v>
                </c:pt>
                <c:pt idx="9">
                  <c:v>68831201</c:v>
                </c:pt>
                <c:pt idx="12">
                  <c:v>118416840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8277-464B-9690-026D95CA1400}"/>
            </c:ext>
          </c:extLst>
        </c:ser>
        <c:ser>
          <c:idx val="44"/>
          <c:order val="44"/>
          <c:tx>
            <c:strRef>
              <c:f>сводка!$A$51</c:f>
              <c:strCache>
                <c:ptCount val="1"/>
                <c:pt idx="0">
                  <c:v>Power Consturction Planet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сводка!$B$51:$N$51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150124000</c:v>
                </c:pt>
                <c:pt idx="8">
                  <c:v>104794610</c:v>
                </c:pt>
                <c:pt idx="9">
                  <c:v>201390838</c:v>
                </c:pt>
                <c:pt idx="12">
                  <c:v>456309448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8277-464B-9690-026D95CA1400}"/>
            </c:ext>
          </c:extLst>
        </c:ser>
        <c:ser>
          <c:idx val="45"/>
          <c:order val="45"/>
          <c:tx>
            <c:strRef>
              <c:f>сводка!$A$52</c:f>
              <c:strCache>
                <c:ptCount val="1"/>
                <c:pt idx="0">
                  <c:v>Qurulish Vazirligi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сводка!$B$52:$N$52</c:f>
              <c:numCache>
                <c:formatCode>#,##0.00</c:formatCode>
                <c:ptCount val="13"/>
                <c:pt idx="0">
                  <c:v>37877388</c:v>
                </c:pt>
                <c:pt idx="1">
                  <c:v>20409650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5001370</c:v>
                </c:pt>
                <c:pt idx="6">
                  <c:v>1791601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65080009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8277-464B-9690-026D95CA1400}"/>
            </c:ext>
          </c:extLst>
        </c:ser>
        <c:ser>
          <c:idx val="46"/>
          <c:order val="46"/>
          <c:tx>
            <c:strRef>
              <c:f>сводка!$A$53</c:f>
              <c:strCache>
                <c:ptCount val="1"/>
                <c:pt idx="0">
                  <c:v>Sergeli Industrial Park 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сводка!$B$53:$N$53</c:f>
              <c:numCache>
                <c:formatCode>#,##0.00</c:formatCode>
                <c:ptCount val="13"/>
                <c:pt idx="0">
                  <c:v>31501852</c:v>
                </c:pt>
                <c:pt idx="1">
                  <c:v>14672214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46174066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8277-464B-9690-026D95CA1400}"/>
            </c:ext>
          </c:extLst>
        </c:ser>
        <c:ser>
          <c:idx val="47"/>
          <c:order val="47"/>
          <c:tx>
            <c:strRef>
              <c:f>сводка!$A$54</c:f>
              <c:strCache>
                <c:ptCount val="1"/>
                <c:pt idx="0">
                  <c:v>Silver Tulp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сводка!$B$54:$N$54</c:f>
              <c:numCache>
                <c:formatCode>#,##0.00</c:formatCode>
                <c:ptCount val="13"/>
                <c:pt idx="0">
                  <c:v>11187257</c:v>
                </c:pt>
                <c:pt idx="1">
                  <c:v>5476974</c:v>
                </c:pt>
                <c:pt idx="2">
                  <c:v>0</c:v>
                </c:pt>
                <c:pt idx="3">
                  <c:v>64974000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81638231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8277-464B-9690-026D95CA1400}"/>
            </c:ext>
          </c:extLst>
        </c:ser>
        <c:ser>
          <c:idx val="48"/>
          <c:order val="48"/>
          <c:tx>
            <c:strRef>
              <c:f>сводка!$A$55</c:f>
              <c:strCache>
                <c:ptCount val="1"/>
                <c:pt idx="0">
                  <c:v>Supreme Quality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сводка!$B$55:$N$55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14975313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14975313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8277-464B-9690-026D95CA1400}"/>
            </c:ext>
          </c:extLst>
        </c:ser>
        <c:ser>
          <c:idx val="49"/>
          <c:order val="49"/>
          <c:tx>
            <c:strRef>
              <c:f>сводка!$A$56</c:f>
              <c:strCache>
                <c:ptCount val="1"/>
                <c:pt idx="0">
                  <c:v>Techno Alliance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сводка!$B$56:$N$56</c:f>
            </c:numRef>
          </c:val>
          <c:extLst>
            <c:ext xmlns:c16="http://schemas.microsoft.com/office/drawing/2014/chart" uri="{C3380CC4-5D6E-409C-BE32-E72D297353CC}">
              <c16:uniqueId val="{0000006A-8277-464B-9690-026D95CA1400}"/>
            </c:ext>
          </c:extLst>
        </c:ser>
        <c:ser>
          <c:idx val="50"/>
          <c:order val="50"/>
          <c:tx>
            <c:strRef>
              <c:f>сводка!$A$57</c:f>
              <c:strCache>
                <c:ptCount val="1"/>
                <c:pt idx="0">
                  <c:v>Techno Logistics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сводка!$B$57:$N$57</c:f>
              <c:numCache>
                <c:formatCode>#,##0.00</c:formatCode>
                <c:ptCount val="13"/>
                <c:pt idx="0">
                  <c:v>28556868</c:v>
                </c:pt>
                <c:pt idx="1">
                  <c:v>27725997</c:v>
                </c:pt>
                <c:pt idx="2">
                  <c:v>38405537</c:v>
                </c:pt>
                <c:pt idx="3">
                  <c:v>9996000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36483909</c:v>
                </c:pt>
                <c:pt idx="12">
                  <c:v>141168311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8277-464B-9690-026D95CA1400}"/>
            </c:ext>
          </c:extLst>
        </c:ser>
        <c:ser>
          <c:idx val="51"/>
          <c:order val="51"/>
          <c:tx>
            <c:strRef>
              <c:f>сводка!$A$58</c:f>
              <c:strCache>
                <c:ptCount val="1"/>
                <c:pt idx="0">
                  <c:v>Technopark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сводка!$B$58:$N$58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18852390</c:v>
                </c:pt>
                <c:pt idx="8">
                  <c:v>0</c:v>
                </c:pt>
                <c:pt idx="9">
                  <c:v>0</c:v>
                </c:pt>
                <c:pt idx="12">
                  <c:v>18852390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8277-464B-9690-026D95CA1400}"/>
            </c:ext>
          </c:extLst>
        </c:ser>
        <c:ser>
          <c:idx val="52"/>
          <c:order val="52"/>
          <c:tx>
            <c:strRef>
              <c:f>сводка!$A$59</c:f>
              <c:strCache>
                <c:ptCount val="1"/>
                <c:pt idx="0">
                  <c:v>Mesa Mesen Sanayii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сводка!$B$59:$N$59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128850025.58</c:v>
                </c:pt>
                <c:pt idx="9">
                  <c:v>127561059</c:v>
                </c:pt>
                <c:pt idx="12">
                  <c:v>256411084.57999998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8277-464B-9690-026D95CA1400}"/>
            </c:ext>
          </c:extLst>
        </c:ser>
        <c:ser>
          <c:idx val="53"/>
          <c:order val="53"/>
          <c:tx>
            <c:strRef>
              <c:f>сводка!$A$60</c:f>
              <c:strCache>
                <c:ptCount val="1"/>
                <c:pt idx="0">
                  <c:v>White City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сводка!$B$60:$N$60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63101952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63101952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8277-464B-9690-026D95CA1400}"/>
            </c:ext>
          </c:extLst>
        </c:ser>
        <c:ser>
          <c:idx val="54"/>
          <c:order val="54"/>
          <c:tx>
            <c:strRef>
              <c:f>сводка!$A$63</c:f>
              <c:strCache>
                <c:ptCount val="1"/>
                <c:pt idx="0">
                  <c:v>Yunusobod City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сводка!$B$6:$N$6</c:f>
              <c:strCache>
                <c:ptCount val="1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Итог</c:v>
                </c:pt>
              </c:strCache>
            </c:strRef>
          </c:cat>
          <c:val>
            <c:numRef>
              <c:f>сводка!$B$63:$N$63</c:f>
            </c:numRef>
          </c:val>
          <c:extLst>
            <c:ext xmlns:c16="http://schemas.microsoft.com/office/drawing/2014/chart" uri="{C3380CC4-5D6E-409C-BE32-E72D297353CC}">
              <c16:uniqueId val="{0000006F-8277-464B-9690-026D95CA1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77352"/>
        <c:axId val="352063840"/>
      </c:barChart>
      <c:catAx>
        <c:axId val="1340773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352063840"/>
        <c:crosses val="autoZero"/>
        <c:auto val="1"/>
        <c:lblAlgn val="ctr"/>
        <c:lblOffset val="100"/>
        <c:noMultiLvlLbl val="0"/>
      </c:catAx>
      <c:valAx>
        <c:axId val="3520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30000"/>
                </a:schemeClr>
              </a:solidFill>
              <a:prstDash val="solid"/>
              <a:round/>
            </a:ln>
            <a:effectLst/>
          </c:spPr>
        </c:majorGridlines>
        <c:numFmt formatCode="#,##0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68060663007837"/>
          <c:y val="2.6437991870151379E-2"/>
          <c:w val="0.14807109730654153"/>
          <c:h val="0.88911260729068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0" spc="-1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C7-4EE1-BE59-7153C3CD0D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C7-4EE1-BE59-7153C3CD0D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C7-4EE1-BE59-7153C3CD0D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C7-4EE1-BE59-7153C3CD0D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C7-4EE1-BE59-7153C3CD0D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8C7-4EE1-BE59-7153C3CD0D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8C7-4EE1-BE59-7153C3CD0D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8C7-4EE1-BE59-7153C3CD0D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8C7-4EE1-BE59-7153C3CD0D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8C7-4EE1-BE59-7153C3CD0D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8C7-4EE1-BE59-7153C3CD0DE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сводка!$G$228:$H$228</c:f>
              <c:strCache>
                <c:ptCount val="2"/>
                <c:pt idx="0">
                  <c:v>Rossiya </c:v>
                </c:pt>
                <c:pt idx="1">
                  <c:v>Turkiya </c:v>
                </c:pt>
              </c:strCache>
            </c:strRef>
          </c:cat>
          <c:val>
            <c:numRef>
              <c:f>сводка!$G$246:$H$246</c:f>
              <c:numCache>
                <c:formatCode>_-* #\ ##0\ _₽_-;\-* #\ ##0\ _₽_-;_-* "-"??\ _₽_-;_-@_-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B-4CF0-848F-E88C5296CF21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944349</xdr:colOff>
      <xdr:row>0</xdr:row>
      <xdr:rowOff>69272</xdr:rowOff>
    </xdr:from>
    <xdr:to>
      <xdr:col>2</xdr:col>
      <xdr:colOff>1295334</xdr:colOff>
      <xdr:row>0</xdr:row>
      <xdr:rowOff>1252333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349" y="69272"/>
          <a:ext cx="3671456" cy="1183061"/>
        </a:xfrm>
        <a:prstGeom prst="rect">
          <a:avLst/>
        </a:prstGeom>
      </xdr:spPr>
    </xdr:pic>
    <xdr:clientData/>
  </xdr:twoCellAnchor>
  <xdr:oneCellAnchor>
    <xdr:from>
      <xdr:col>0</xdr:col>
      <xdr:colOff>285751</xdr:colOff>
      <xdr:row>204</xdr:row>
      <xdr:rowOff>27215</xdr:rowOff>
    </xdr:from>
    <xdr:ext cx="17929411" cy="5546912"/>
    <xdr:graphicFrame macro="">
      <xdr:nvGraphicFramePr>
        <xdr:cNvPr id="7" name="ТенденцииРасходов" descr="Гистограмма месячных расходов по категориям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294408</xdr:colOff>
      <xdr:row>2</xdr:row>
      <xdr:rowOff>69271</xdr:rowOff>
    </xdr:from>
    <xdr:ext cx="18374592" cy="5974773"/>
    <xdr:graphicFrame macro="">
      <xdr:nvGraphicFramePr>
        <xdr:cNvPr id="8" name="ТенденцииРасходов" descr="Гистограмма месячных расходов по категориям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0</xdr:col>
      <xdr:colOff>1199029</xdr:colOff>
      <xdr:row>247</xdr:row>
      <xdr:rowOff>85163</xdr:rowOff>
    </xdr:from>
    <xdr:to>
      <xdr:col>10</xdr:col>
      <xdr:colOff>874058</xdr:colOff>
      <xdr:row>264</xdr:row>
      <xdr:rowOff>246528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jaka/Downloads/Aviaticket%20Hotel%20(1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rdor\&#1054;&#1073;&#1097;&#1072;&#1103;%20&#1087;&#1072;&#1087;&#1082;&#1072;\&#1042;&#1048;&#1047;&#1040;\Project\Aviaticket%20Hot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jaka/Downloads/Aviaticket%20Hotel%20(17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jaka/Downloads/Aviaticket%20Hotel%202020%20Doniyor%20(5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jaka/Downloads/Telegram%20Desktop/NEW%20Visa_Kont%20Akfa%20&#8212;%20&#1082;&#1086;&#1087;&#1080;&#1103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iaticket%20Hotel(96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ojaka/Downloads/Telegram%20Desktop/NEW%20Visa_Kont%20Akfa%20&#8212;%20&#1082;&#1086;&#1087;&#1080;&#1103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YashaganKunlar"/>
      <sheetName val="HotelReport"/>
      <sheetName val="AviaReport"/>
      <sheetName val="AviaReport-2"/>
      <sheetName val="Yo'nalishBuyicha"/>
      <sheetName val="To'lovStatus"/>
      <sheetName val="DBAviaticket"/>
      <sheetName val="Лист1"/>
      <sheetName val="DBHotel"/>
      <sheetName val="Prochee"/>
      <sheetName val="Viza"/>
      <sheetName val="Ma'lumotlar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YashaganKunlar"/>
      <sheetName val="HotelReport"/>
      <sheetName val="AviaReport"/>
      <sheetName val="AviaReport-2"/>
      <sheetName val="Yo'nalishBuyicha"/>
      <sheetName val="To'lovStatus"/>
      <sheetName val="DBAviaticket"/>
      <sheetName val="DBHotel"/>
      <sheetName val="Prochee"/>
      <sheetName val="Ma'lumotlarBazasi"/>
      <sheetName val="Viza"/>
      <sheetName val="Aviaticket Hot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YashaganKunlar"/>
      <sheetName val="HotelReport"/>
      <sheetName val="AviaReport"/>
      <sheetName val="AviaReport-2"/>
      <sheetName val="Yo'nalishBuyicha"/>
      <sheetName val="To'lovStatus"/>
      <sheetName val="Prochee"/>
      <sheetName val="DBAviaticket"/>
      <sheetName val="DBHotel"/>
      <sheetName val="Viza"/>
      <sheetName val="Ma'lumotlar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YashaganKunlar"/>
      <sheetName val="HotelReport"/>
      <sheetName val="AviaReport"/>
      <sheetName val="AviaReport-2"/>
      <sheetName val="Yo'nalishBuyicha"/>
      <sheetName val="To'lovStatus"/>
      <sheetName val="Prochee"/>
      <sheetName val="DBAviaticket"/>
      <sheetName val="Лист1"/>
      <sheetName val="DBHotel"/>
      <sheetName val="Viza"/>
      <sheetName val="Ma'lumotlar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HisobotOyiBuyicha"/>
      <sheetName val="TashkilotlarBuyicha"/>
      <sheetName val="FuqaroligiBuyicha"/>
      <sheetName val="VisaYaqinlashdi"/>
      <sheetName val="HotelKvartira"/>
      <sheetName val="Database"/>
      <sheetName val="Ma'lumotlarBazasi"/>
      <sheetName val="Malumotlar 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'lumotlarBazasi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HisobotOyiBuyicha"/>
      <sheetName val="TashkilotlarBuyicha"/>
      <sheetName val="FuqaroligiBuyicha"/>
      <sheetName val="VisaYaqinlashdi"/>
      <sheetName val="HotelKvartira"/>
      <sheetName val="Database"/>
      <sheetName val="Ma'lumotlarBaz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4" name="СводкаРасходов" displayName="СводкаРасходов" ref="A6:P64" totalsRowCount="1" headerRowDxfId="273">
  <autoFilter ref="A6:P63">
    <filterColumn colId="13">
      <filters>
        <filter val="1 071 975 745,00"/>
        <filter val="10 930 359,00"/>
        <filter val="100 474 353,00"/>
        <filter val="100 898 191,00"/>
        <filter val="101 495 029,00"/>
        <filter val="110 494 323,00"/>
        <filter val="110 746 480,00"/>
        <filter val="118 416 840,00"/>
        <filter val="126 819 968,00"/>
        <filter val="128 074 319,00"/>
        <filter val="13 940 000,00"/>
        <filter val="14 354 087,00"/>
        <filter val="14 975 313,00"/>
        <filter val="141 168 311,00"/>
        <filter val="15 856 672,00"/>
        <filter val="16 202 980,00"/>
        <filter val="166 671 037,00"/>
        <filter val="18 852 390,00"/>
        <filter val="23 662 336,00"/>
        <filter val="256 411 084,58"/>
        <filter val="263 842 659,00"/>
        <filter val="27 403 378,00"/>
        <filter val="28 541 104,00"/>
        <filter val="385 722 294,00"/>
        <filter val="4 543 796,00"/>
        <filter val="40 838 018,00"/>
        <filter val="412 206 000,00"/>
        <filter val="456 309 448,00"/>
        <filter val="46 174 066,00"/>
        <filter val="49 962 152,00"/>
        <filter val="53 811 400,00"/>
        <filter val="55 526 068,00"/>
        <filter val="57 846 214,00"/>
        <filter val="63 101 952,00"/>
        <filter val="65 080 009,00"/>
        <filter val="66 581 138,00"/>
        <filter val="7 099 185,00"/>
        <filter val="8 975 604,00"/>
        <filter val="81 638 231,00"/>
        <filter val="83 432 412,00"/>
        <filter val="88 448 456,00"/>
        <filter val="947 127 056,00"/>
        <filter val="97 496 569,00"/>
      </filters>
    </filterColumn>
  </autoFilter>
  <sortState ref="A7:P47">
    <sortCondition ref="A6:A47"/>
  </sortState>
  <tableColumns count="16">
    <tableColumn id="1" name="Фирмы" totalsRowLabel="Итог" dataDxfId="272" totalsRowDxfId="271" dataCellStyle="Сведения таблицы"/>
    <tableColumn id="2" name="Январь" totalsRowFunction="sum" dataDxfId="270" totalsRowDxfId="269" dataCellStyle="Финансовый">
      <calculatedColumnFormula>+SUMIF(янв!$E$5:$E$322,СводкаРасходов[[#This Row],[Фирмы]],янв!$L$5:$L$322)</calculatedColumnFormula>
    </tableColumn>
    <tableColumn id="3" name="Февраль" totalsRowFunction="sum" dataDxfId="268" totalsRowDxfId="267" dataCellStyle="Финансовый">
      <calculatedColumnFormula>+SUMIF(фев!$E$4:$E$231,СводкаРасходов[[#This Row],[Фирмы]],фев!$L$4:$L$231)</calculatedColumnFormula>
    </tableColumn>
    <tableColumn id="4" name="Март" totalsRowFunction="sum" dataDxfId="266" totalsRowDxfId="265" dataCellStyle="Финансовый">
      <calculatedColumnFormula>+SUMIF(мар!$E$5:$E$74,СводкаРасходов[[#This Row],[Фирмы]],мар!$L$5:$L$74)</calculatedColumnFormula>
    </tableColumn>
    <tableColumn id="5" name="Апрель" totalsRowFunction="sum" dataDxfId="264" totalsRowDxfId="263" dataCellStyle="Финансовый">
      <calculatedColumnFormula>+SUMIF(апр!$E$5:$E$24,СводкаРасходов[[#This Row],[Фирмы]],апр!$L$5:$L$24)</calculatedColumnFormula>
    </tableColumn>
    <tableColumn id="6" name="Май" totalsRowFunction="sum" dataDxfId="262" totalsRowDxfId="261" dataCellStyle="Финансовый">
      <calculatedColumnFormula>+SUMIF(май!$E$2:$E$32,СводкаРасходов[[#This Row],[Фирмы]],май!$L$2:$L$32)</calculatedColumnFormula>
    </tableColumn>
    <tableColumn id="7" name="Июнь" totalsRowFunction="sum" dataDxfId="260" totalsRowDxfId="259" dataCellStyle="Финансовый">
      <calculatedColumnFormula>+SUMIF(июн!$E$3:$E$17,СводкаРасходов[[#This Row],[Фирмы]],июн!$L$3:$L$17)</calculatedColumnFormula>
    </tableColumn>
    <tableColumn id="8" name="Июль" totalsRowFunction="sum" dataDxfId="258" totalsRowDxfId="257" dataCellStyle="Финансовый">
      <calculatedColumnFormula>+SUMIF(июл!$E$2:$E$44,СводкаРасходов[[#This Row],[Фирмы]],июл!$L$2:$L$44)</calculatedColumnFormula>
    </tableColumn>
    <tableColumn id="9" name="Август" totalsRowFunction="sum" dataDxfId="256" totalsRowDxfId="255" dataCellStyle="Финансовый">
      <calculatedColumnFormula>+SUMIF(авг!$E$2:$E$191,СводкаРасходов[[#This Row],[Фирмы]],авг!$L$2:$L$191)</calculatedColumnFormula>
    </tableColumn>
    <tableColumn id="10" name="Сентябрь" totalsRowFunction="sum" dataDxfId="254" totalsRowDxfId="253" dataCellStyle="Финансовый">
      <calculatedColumnFormula>+SUMIF(сен!$E$2:$E$173,СводкаРасходов[[#This Row],[Фирмы]],сен!$L$2:$L$173)</calculatedColumnFormula>
    </tableColumn>
    <tableColumn id="11" name="Октябрь" totalsRowFunction="sum" dataDxfId="252" totalsRowDxfId="251" dataCellStyle="Финансовый">
      <calculatedColumnFormula>+SUMIF(окт!$E$2:$E$267,СводкаРасходов[[#This Row],[Фирмы]],окт!$L$2:$L$267)</calculatedColumnFormula>
    </tableColumn>
    <tableColumn id="12" name="Ноябрь" totalsRowFunction="sum" dataDxfId="250" totalsRowDxfId="249" dataCellStyle="Финансовый"/>
    <tableColumn id="13" name="Декабрь" totalsRowFunction="sum" dataDxfId="248" totalsRowDxfId="247" dataCellStyle="Финансовый"/>
    <tableColumn id="14" name="Итог" totalsRowFunction="sum" dataDxfId="246" totalsRowDxfId="245">
      <calculatedColumnFormula>SUM(СводкаРасходов[[#This Row],[Январь]:[Декабрь]])</calculatedColumnFormula>
    </tableColumn>
    <tableColumn id="15" name="Тенденции" totalsRowDxfId="244"/>
    <tableColumn id="16" name="%" totalsRowFunction="sum" dataDxfId="243" totalsRowDxfId="242" dataCellStyle="Процентный">
      <calculatedColumnFormula>IFERROR(+СводкаРасходов[[#This Row],[Итог]]/СводкаРасходов[[#Totals],[Итог]],0)</calculatedColumnFormula>
    </tableColumn>
  </tableColumns>
  <tableStyleInfo name="Сводная таблица" showFirstColumn="0" showLastColumn="1" showRowStripes="0" showColumnStripes="1"/>
  <extLst>
    <ext xmlns:x14="http://schemas.microsoft.com/office/spreadsheetml/2009/9/main" uri="{504A1905-F514-4f6f-8877-14C23A59335A}">
      <x14:table altTextSummary="В таблице приведены ежемесячные расходы по категориям для каждого месяца года, начиная с января.  Таблица выравнивается по вертикали, а диаграмма располагается непосредственно сверху, чтобы каждый месяц в таблице соотносился с каждым месяцем в диаграмме."/>
    </ext>
  </extLst>
</table>
</file>

<file path=xl/tables/table2.xml><?xml version="1.0" encoding="utf-8"?>
<table xmlns="http://schemas.openxmlformats.org/spreadsheetml/2006/main" id="2" name="СводкаРасходов23" displayName="СводкаРасходов23" ref="A199:P202" totalsRowCount="1" headerRowDxfId="241">
  <autoFilter ref="A199:P201"/>
  <tableColumns count="16">
    <tableColumn id="1" name="Способ покупки" totalsRowDxfId="240"/>
    <tableColumn id="2" name="Январь" totalsRowFunction="sum" dataDxfId="239" totalsRowDxfId="238">
      <calculatedColumnFormula>+SUMIF(янв!$M$5:$M$322,СводкаРасходов23[[#This Row],[Способ покупки]],янв!$L$5:$L$322)</calculatedColumnFormula>
    </tableColumn>
    <tableColumn id="3" name="Февраль" totalsRowFunction="sum" dataDxfId="237" totalsRowDxfId="236">
      <calculatedColumnFormula>+SUMIF(фев!M4:M231,СводкаРасходов23[[#This Row],[Способ покупки]],фев!L4:L231)</calculatedColumnFormula>
    </tableColumn>
    <tableColumn id="4" name="Март" totalsRowFunction="sum" dataDxfId="235" totalsRowDxfId="234">
      <calculatedColumnFormula>+SUMIF(мар!M4:M74,СводкаРасходов23[[#This Row],[Способ покупки]],мар!L4:L74)</calculatedColumnFormula>
    </tableColumn>
    <tableColumn id="5" name="Апрель" totalsRowFunction="sum" dataDxfId="233" totalsRowDxfId="232">
      <calculatedColumnFormula>+апр!L24</calculatedColumnFormula>
    </tableColumn>
    <tableColumn id="6" name="Май" totalsRowFunction="sum" dataDxfId="231" totalsRowDxfId="230">
      <calculatedColumnFormula>+SUMIF(май!$M$2:$M$32,СводкаРасходов23[[#This Row],[Способ покупки]],май!$L$2:$L$32)</calculatedColumnFormula>
    </tableColumn>
    <tableColumn id="7" name="Июнь" totalsRowFunction="sum" dataDxfId="229" totalsRowDxfId="228">
      <calculatedColumnFormula>+SUMIF(июн!$M$3:$M$17,СводкаРасходов23[[#This Row],[Способ покупки]],июн!$L$3:$L$17)</calculatedColumnFormula>
    </tableColumn>
    <tableColumn id="8" name="Июль" totalsRowFunction="sum" dataDxfId="227" totalsRowDxfId="226" dataCellStyle="Числа таблицы">
      <calculatedColumnFormula>+июл!L44</calculatedColumnFormula>
    </tableColumn>
    <tableColumn id="9" name="Август" totalsRowFunction="sum" dataDxfId="225" totalsRowDxfId="224" dataCellStyle="Числа таблицы">
      <calculatedColumnFormula>+авг!L88+авг!L190</calculatedColumnFormula>
    </tableColumn>
    <tableColumn id="10" name="Сентябрь" totalsRowFunction="sum" dataDxfId="223" totalsRowDxfId="222" dataCellStyle="Числа таблицы">
      <calculatedColumnFormula>+SUMIF(сен!$M$2:$M$173,СводкаРасходов23[[#This Row],[Способ покупки]],сен!$L$2:$L$173)</calculatedColumnFormula>
    </tableColumn>
    <tableColumn id="11" name="Октябрь" totalsRowFunction="sum" dataDxfId="221" totalsRowDxfId="220" dataCellStyle="Числа таблицы">
      <calculatedColumnFormula>+SUMIF(окт!$M$2:$M$267,СводкаРасходов23[[#This Row],[Способ покупки]],окт!$L$2:$L$267)</calculatedColumnFormula>
    </tableColumn>
    <tableColumn id="12" name="Ноябрь" totalsRowFunction="sum" dataDxfId="219" totalsRowDxfId="218" dataCellStyle="Числа таблицы"/>
    <tableColumn id="13" name="Декабрь" totalsRowFunction="sum" dataDxfId="217" totalsRowDxfId="216"/>
    <tableColumn id="14" name="Итог" totalsRowFunction="sum" dataDxfId="215" totalsRowDxfId="214">
      <calculatedColumnFormula>SUM(СводкаРасходов23[[#This Row],[Январь]:[Декабрь]])</calculatedColumnFormula>
    </tableColumn>
    <tableColumn id="15" name="Тенденции" totalsRowDxfId="213"/>
    <tableColumn id="16" name="%" totalsRowFunction="sum" dataDxfId="212" totalsRowDxfId="211" dataCellStyle="Процентный">
      <calculatedColumnFormula>IFERROR(+СводкаРасходов23[[#This Row],[Итог]]/СводкаРасходов23[[#Totals],[Итог]],0)</calculatedColumnFormula>
    </tableColumn>
  </tableColumns>
  <tableStyleInfo name="Сводная таблица" showFirstColumn="0" showLastColumn="1" showRowStripes="0" showColumnStripes="1"/>
  <extLst>
    <ext xmlns:x14="http://schemas.microsoft.com/office/spreadsheetml/2009/9/main" uri="{504A1905-F514-4f6f-8877-14C23A59335A}">
      <x14:table altTextSummary="В таблице приведены ежемесячные расходы по категориям для каждого месяца года, начиная с января.  Таблица выравнивается по вертикали, а диаграмма располагается непосредственно сверху, чтобы каждый месяц в таблице соотносился с каждым месяцем в диаграмме."/>
    </ext>
  </extLst>
</table>
</file>

<file path=xl/tables/table3.xml><?xml version="1.0" encoding="utf-8"?>
<table xmlns="http://schemas.openxmlformats.org/spreadsheetml/2006/main" id="3" name="СводкаРасходов24" displayName="СводкаРасходов24" ref="A68:P131" totalsRowCount="1" headerRowDxfId="210">
  <autoFilter ref="A68:P130">
    <filterColumn colId="13">
      <filters>
        <filter val="116 116 517,00"/>
        <filter val="139 570 291,00"/>
        <filter val="14 472 050,00"/>
        <filter val="14 846 930,00"/>
        <filter val="182 421 614,00"/>
        <filter val="35 572 888,00"/>
        <filter val="4 096 937 954,58"/>
        <filter val="40 243 321,00"/>
        <filter val="41 153 185,00"/>
        <filter val="6 937 862,00"/>
        <filter val="79 229 756,00"/>
        <filter val="82 762 868,00"/>
      </filters>
    </filterColumn>
  </autoFilter>
  <tableColumns count="16">
    <tableColumn id="1" name="Нерезидент" totalsRowDxfId="209"/>
    <tableColumn id="2" name="Январь" totalsRowFunction="sum" dataDxfId="208" totalsRowDxfId="207">
      <calculatedColumnFormula>+SUMIF(янв!$I$5:$I$150,СводкаРасходов24[[#This Row],[Нерезидент]],янв!$L$5:$L$150)</calculatedColumnFormula>
    </tableColumn>
    <tableColumn id="3" name="Февраль" totalsRowFunction="sum" dataDxfId="206" totalsRowDxfId="205">
      <calculatedColumnFormula>+SUMIF(фев!$I$4:$I$126,СводкаРасходов24[[#This Row],[Нерезидент]],фев!$L$4:$L$126)</calculatedColumnFormula>
    </tableColumn>
    <tableColumn id="4" name="Март" totalsRowFunction="sum" dataDxfId="204" totalsRowDxfId="203">
      <calculatedColumnFormula>+SUMIFS(мар!$L$5:$L$74,мар!$D$5:$D$74,мар!$D$5,мар!$I$5:$I$74,СводкаРасходов24[[#This Row],[Нерезидент]])</calculatedColumnFormula>
    </tableColumn>
    <tableColumn id="5" name="Апрель" totalsRowFunction="sum" dataDxfId="202" totalsRowDxfId="201">
      <calculatedColumnFormula>+SUMIF(апр!$I$5:$I$24,СводкаРасходов24[[#This Row],[Нерезидент]],апр!$L$5:$L$24)</calculatedColumnFormula>
    </tableColumn>
    <tableColumn id="6" name="Май" totalsRowFunction="sum" dataDxfId="200" totalsRowDxfId="199">
      <calculatedColumnFormula>+SUMIFS(май!$L$2:$L$32,май!$D$2:$D$32,май!$D$9,май!$I$2:$I$32,СводкаРасходов24[[#This Row],[Нерезидент]])</calculatedColumnFormula>
    </tableColumn>
    <tableColumn id="7" name="Июнь" totalsRowFunction="sum" dataDxfId="198" totalsRowDxfId="197"/>
    <tableColumn id="8" name="Июль" totalsRowFunction="sum" dataDxfId="196" totalsRowDxfId="195" dataCellStyle="Числа таблицы">
      <calculatedColumnFormula>+SUMIFS(июл!$L$2:$L$44,июл!$D$2:$D$44,"Ne Rezident",июл!$I$2:$I$44,СводкаРасходов24[[#This Row],[Нерезидент]])</calculatedColumnFormula>
    </tableColumn>
    <tableColumn id="9" name="Август" totalsRowFunction="sum" dataDxfId="194" totalsRowDxfId="193" dataCellStyle="Числа таблицы">
      <calculatedColumnFormula>+SUMIFS(авг!$L$2:$L$191,авг!$D$2:$D$191,"Ne Rezident",авг!$I$2:$I$191,СводкаРасходов24[[#This Row],[Нерезидент]])</calculatedColumnFormula>
    </tableColumn>
    <tableColumn id="10" name="Сентябрь" totalsRowFunction="sum" dataDxfId="192" totalsRowDxfId="191" dataCellStyle="Числа таблицы">
      <calculatedColumnFormula>+SUMIFS(сен!$L$2:$L$173,сен!$D$2:$D$173,"Ne Rezident",сен!$I$2:$I$173,СводкаРасходов24[[#This Row],[Нерезидент]])</calculatedColumnFormula>
    </tableColumn>
    <tableColumn id="11" name="Октябрь" totalsRowFunction="sum" dataDxfId="190" totalsRowDxfId="189" dataCellStyle="Числа таблицы">
      <calculatedColumnFormula>+SUMIFS(окт!$L$2:$L$267,окт!$D$2:$D$267,"Ne Rezident",окт!$I$2:$I$267,СводкаРасходов24[[#This Row],[Нерезидент]])</calculatedColumnFormula>
    </tableColumn>
    <tableColumn id="12" name="Ноябрь" totalsRowFunction="sum" dataDxfId="188" totalsRowDxfId="187" dataCellStyle="Числа таблицы"/>
    <tableColumn id="13" name="Декабрь" totalsRowFunction="sum" dataDxfId="186" totalsRowDxfId="185"/>
    <tableColumn id="14" name="Итог" totalsRowFunction="sum" dataDxfId="184" totalsRowDxfId="183">
      <calculatedColumnFormula>SUM(СводкаРасходов24[[#This Row],[Январь]:[Декабрь]])</calculatedColumnFormula>
    </tableColumn>
    <tableColumn id="15" name="Тенденции" totalsRowDxfId="182"/>
    <tableColumn id="16" name="%" totalsRowFunction="sum" dataDxfId="181" totalsRowDxfId="180" dataCellStyle="Процентный">
      <calculatedColumnFormula>IFERROR(+СводкаРасходов24[[#This Row],[Итог]]/СводкаРасходов24[[#Totals],[Итог]],0)</calculatedColumnFormula>
    </tableColumn>
  </tableColumns>
  <tableStyleInfo name="Сводная таблица" showFirstColumn="0" showLastColumn="1" showRowStripes="0" showColumnStripes="1"/>
  <extLst>
    <ext xmlns:x14="http://schemas.microsoft.com/office/spreadsheetml/2009/9/main" uri="{504A1905-F514-4f6f-8877-14C23A59335A}">
      <x14:table altTextSummary="В таблице приведены ежемесячные расходы по категориям для каждого месяца года, начиная с января.  Таблица выравнивается по вертикали, а диаграмма располагается непосредственно сверху, чтобы каждый месяц в таблице соотносился с каждым месяцем в диаграмме."/>
    </ext>
  </extLst>
</table>
</file>

<file path=xl/tables/table4.xml><?xml version="1.0" encoding="utf-8"?>
<table xmlns="http://schemas.openxmlformats.org/spreadsheetml/2006/main" id="1" name="СводкаРасходов242" displayName="СводкаРасходов242" ref="A133:P197" totalsRowCount="1" headerRowDxfId="179">
  <autoFilter ref="A133:P196">
    <filterColumn colId="13">
      <filters>
        <filter val="10 382 059,00"/>
        <filter val="21 062 403,00"/>
        <filter val="25 393 021,00"/>
        <filter val="26 263 024,00"/>
        <filter val="3 960 000,00"/>
        <filter val="31 164 120,00"/>
        <filter val="32 015 753,00"/>
        <filter val="40 413 402,00"/>
        <filter val="42 428 351,00"/>
        <filter val="5 128 482,00"/>
        <filter val="55 020 402,00"/>
        <filter val="6 079 519,00"/>
        <filter val="6 402 570,00"/>
        <filter val="658 770 049,00"/>
        <filter val="70 686 873,00"/>
        <filter val="79 311 568,00"/>
        <filter val="8 486 036,00"/>
        <filter val="80 894 158,00"/>
      </filters>
    </filterColumn>
  </autoFilter>
  <tableColumns count="16">
    <tableColumn id="1" name="Резидент" totalsRowDxfId="178"/>
    <tableColumn id="2" name="Январь" totalsRowFunction="sum" dataDxfId="177" totalsRowDxfId="176">
      <calculatedColumnFormula>+SUMIF(янв!$I$151:$I$322,СводкаРасходов242[[#This Row],[Резидент]],янв!$L$151:$L$322)</calculatedColumnFormula>
    </tableColumn>
    <tableColumn id="3" name="Февраль" totalsRowFunction="sum" dataDxfId="175" totalsRowDxfId="174">
      <calculatedColumnFormula>+SUMIF(фев!$I$127:$I$231,СводкаРасходов242[[#This Row],[Резидент]],фев!$L$127:$L$231)</calculatedColumnFormula>
    </tableColumn>
    <tableColumn id="4" name="Март" totalsRowFunction="sum" dataDxfId="173" totalsRowDxfId="172">
      <calculatedColumnFormula>+SUMIFS(мар!$L$5:$L$74,мар!$D$5:$D$74,мар!$D$57,мар!$I$5:$I$74,СводкаРасходов242[[#This Row],[Резидент]])</calculatedColumnFormula>
    </tableColumn>
    <tableColumn id="5" name="Апрель" totalsRowFunction="sum" dataDxfId="171" totalsRowDxfId="170"/>
    <tableColumn id="6" name="Май" totalsRowFunction="sum" dataDxfId="169" totalsRowDxfId="168"/>
    <tableColumn id="7" name="Июнь" totalsRowFunction="sum" dataDxfId="167" totalsRowDxfId="166"/>
    <tableColumn id="8" name="Июль" totalsRowFunction="sum" dataDxfId="165" totalsRowDxfId="164" dataCellStyle="Числа таблицы">
      <calculatedColumnFormula>+SUMIFS(июл!$L$2:$L$44,июл!$D$2:$D$44,"Rezident",июл!$I$2:$I$44,СводкаРасходов242[[#This Row],[Резидент]])</calculatedColumnFormula>
    </tableColumn>
    <tableColumn id="9" name="Август" totalsRowFunction="sum" dataDxfId="163" totalsRowDxfId="162" dataCellStyle="Числа таблицы">
      <calculatedColumnFormula>+SUMIFS(авг!$L$2:$L$191,авг!$D$2:$D$191,"Rezident",авг!$I$2:$I$191,СводкаРасходов242[[#This Row],[Резидент]])</calculatedColumnFormula>
    </tableColumn>
    <tableColumn id="10" name="Сентябрь" totalsRowFunction="sum" dataDxfId="161" totalsRowDxfId="160" dataCellStyle="Числа таблицы"/>
    <tableColumn id="11" name="Октябрь" totalsRowFunction="sum" dataDxfId="159" totalsRowDxfId="158" dataCellStyle="Числа таблицы">
      <calculatedColumnFormula>+SUMIFS(окт!$L$2:$L$267,окт!$D$2:$D$267,"Rezident",окт!$I$2:$I$267,СводкаРасходов242[[#This Row],[Резидент]])</calculatedColumnFormula>
    </tableColumn>
    <tableColumn id="12" name="Ноябрь" totalsRowFunction="sum" dataDxfId="157" totalsRowDxfId="156" dataCellStyle="Числа таблицы"/>
    <tableColumn id="13" name="Декабрь" totalsRowFunction="sum" dataDxfId="155" totalsRowDxfId="154"/>
    <tableColumn id="14" name="Итог" totalsRowFunction="sum" dataDxfId="153" totalsRowDxfId="152">
      <calculatedColumnFormula>SUM(СводкаРасходов242[[#This Row],[Январь]:[Декабрь]])</calculatedColumnFormula>
    </tableColumn>
    <tableColumn id="15" name="Тенденции" totalsRowDxfId="151"/>
    <tableColumn id="16" name="%" totalsRowFunction="sum" dataDxfId="150" totalsRowDxfId="149" dataCellStyle="Процентный">
      <calculatedColumnFormula>IFERROR(+СводкаРасходов242[[#This Row],[Итог]]/СводкаРасходов242[[#Totals],[Итог]],0)</calculatedColumnFormula>
    </tableColumn>
  </tableColumns>
  <tableStyleInfo name="Сводная таблица" showFirstColumn="0" showLastColumn="1" showRowStripes="0" showColumnStripes="1"/>
  <extLst>
    <ext xmlns:x14="http://schemas.microsoft.com/office/spreadsheetml/2009/9/main" uri="{504A1905-F514-4f6f-8877-14C23A59335A}">
      <x14:table altTextSummary="В таблице приведены ежемесячные расходы по категориям для каждого месяца года, начиная с января.  Таблица выравнивается по вертикали, а диаграмма располагается непосредственно сверху, чтобы каждый месяц в таблице соотносился с каждым месяцем в диаграмме."/>
    </ext>
  </extLst>
</table>
</file>

<file path=xl/theme/theme1.xml><?xml version="1.0" encoding="utf-8"?>
<a:theme xmlns:a="http://schemas.openxmlformats.org/drawingml/2006/main" name="Office Theme">
  <a:themeElements>
    <a:clrScheme name="Expense Trends Budget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97B9C7"/>
      </a:accent1>
      <a:accent2>
        <a:srgbClr val="FFCC4F"/>
      </a:accent2>
      <a:accent3>
        <a:srgbClr val="9AB294"/>
      </a:accent3>
      <a:accent4>
        <a:srgbClr val="F15926"/>
      </a:accent4>
      <a:accent5>
        <a:srgbClr val="906083"/>
      </a:accent5>
      <a:accent6>
        <a:srgbClr val="E89C2B"/>
      </a:accent6>
      <a:hlink>
        <a:srgbClr val="FFFFFF"/>
      </a:hlink>
      <a:folHlink>
        <a:srgbClr val="FFFFFF"/>
      </a:folHlink>
    </a:clrScheme>
    <a:fontScheme name="Expense Trends Budget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A1:P251"/>
  <sheetViews>
    <sheetView showGridLines="0" tabSelected="1" topLeftCell="A210" zoomScale="70" zoomScaleNormal="70" workbookViewId="0">
      <selection activeCell="L227" sqref="L227"/>
    </sheetView>
  </sheetViews>
  <sheetFormatPr defaultColWidth="9.109375" defaultRowHeight="30" customHeight="1" x14ac:dyDescent="0.4"/>
  <cols>
    <col min="1" max="1" width="30.5546875" style="2" customWidth="1"/>
    <col min="2" max="2" width="19.109375" style="2" customWidth="1"/>
    <col min="3" max="3" width="20.44140625" style="2" customWidth="1"/>
    <col min="4" max="4" width="18.33203125" style="2" customWidth="1"/>
    <col min="5" max="5" width="18.6640625" style="2" customWidth="1"/>
    <col min="6" max="6" width="19.44140625" style="2" bestFit="1" customWidth="1"/>
    <col min="7" max="7" width="17.44140625" style="2" customWidth="1"/>
    <col min="8" max="8" width="19.109375" style="2" bestFit="1" customWidth="1"/>
    <col min="9" max="11" width="21" style="2" bestFit="1" customWidth="1"/>
    <col min="12" max="13" width="19.109375" style="2" bestFit="1" customWidth="1"/>
    <col min="14" max="14" width="20.5546875" style="2" bestFit="1" customWidth="1"/>
    <col min="15" max="15" width="16.88671875" style="2" customWidth="1"/>
    <col min="16" max="16" width="10.6640625" style="22" customWidth="1"/>
    <col min="17" max="17" width="7.33203125" style="2" customWidth="1"/>
    <col min="18" max="16384" width="9.109375" style="2"/>
  </cols>
  <sheetData>
    <row r="1" spans="1:16" ht="111" customHeight="1" x14ac:dyDescent="0.7">
      <c r="A1" s="1"/>
      <c r="B1" s="1"/>
      <c r="C1" s="1"/>
      <c r="E1" s="140" t="s">
        <v>18</v>
      </c>
    </row>
    <row r="2" spans="1:16" ht="17.100000000000001" customHeight="1" x14ac:dyDescent="0.4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9"/>
    </row>
    <row r="3" spans="1:16" ht="224.1" customHeight="1" x14ac:dyDescent="0.4"/>
    <row r="4" spans="1:16" ht="191.25" customHeight="1" x14ac:dyDescent="0.4"/>
    <row r="5" spans="1:16" ht="79.5" customHeight="1" x14ac:dyDescent="0.4"/>
    <row r="6" spans="1:16" s="22" customFormat="1" ht="17.100000000000001" customHeight="1" x14ac:dyDescent="0.4">
      <c r="A6" s="21" t="s">
        <v>14</v>
      </c>
      <c r="B6" s="21" t="s">
        <v>0</v>
      </c>
      <c r="C6" s="21" t="s">
        <v>1</v>
      </c>
      <c r="D6" s="21" t="s">
        <v>2</v>
      </c>
      <c r="E6" s="21" t="s">
        <v>3</v>
      </c>
      <c r="F6" s="21" t="s">
        <v>4</v>
      </c>
      <c r="G6" s="21" t="s">
        <v>5</v>
      </c>
      <c r="H6" s="21" t="s">
        <v>6</v>
      </c>
      <c r="I6" s="21" t="s">
        <v>7</v>
      </c>
      <c r="J6" s="21" t="s">
        <v>8</v>
      </c>
      <c r="K6" s="21" t="s">
        <v>9</v>
      </c>
      <c r="L6" s="21" t="s">
        <v>10</v>
      </c>
      <c r="M6" s="21" t="s">
        <v>11</v>
      </c>
      <c r="N6" s="21" t="s">
        <v>13</v>
      </c>
      <c r="O6" s="21" t="s">
        <v>12</v>
      </c>
      <c r="P6" s="21" t="s">
        <v>15</v>
      </c>
    </row>
    <row r="7" spans="1:16" ht="17.100000000000001" customHeight="1" x14ac:dyDescent="0.4">
      <c r="A7" s="4" t="s">
        <v>1021</v>
      </c>
      <c r="B7" s="154">
        <f>+SUMIF(янв!$E$5:$E$322,СводкаРасходов[[#This Row],[Фирмы]],янв!$L$5:$L$322)</f>
        <v>0</v>
      </c>
      <c r="C7" s="154">
        <f>+SUMIF(фев!$E$4:$E$231,СводкаРасходов[[#This Row],[Фирмы]],фев!$L$4:$L$231)</f>
        <v>0</v>
      </c>
      <c r="D7" s="154">
        <f>+SUMIF(мар!$E$5:$E$74,СводкаРасходов[[#This Row],[Фирмы]],мар!$L$5:$L$74)</f>
        <v>0</v>
      </c>
      <c r="E7" s="154">
        <f>+SUMIF(апр!$E$5:$E$24,СводкаРасходов[[#This Row],[Фирмы]],апр!$L$5:$L$24)</f>
        <v>0</v>
      </c>
      <c r="F7" s="154">
        <f>+SUMIF(май!$E$2:$E$32,СводкаРасходов[[#This Row],[Фирмы]],май!$L$2:$L$32)</f>
        <v>0</v>
      </c>
      <c r="G7" s="154">
        <f>+SUMIF(июн!$E$3:$E$17,СводкаРасходов[[#This Row],[Фирмы]],июн!$L$3:$L$17)</f>
        <v>0</v>
      </c>
      <c r="H7" s="5">
        <f>+SUMIF(июл!$E$2:$E$44,СводкаРасходов[[#This Row],[Фирмы]],июл!$L$2:$L$44)</f>
        <v>0</v>
      </c>
      <c r="I7" s="154">
        <f>+SUMIF(авг!$E$2:$E$191,СводкаРасходов[[#This Row],[Фирмы]],авг!$L$2:$L$191)</f>
        <v>13940000</v>
      </c>
      <c r="J7" s="154">
        <f>+SUMIF(сен!$E$2:$E$173,СводкаРасходов[[#This Row],[Фирмы]],сен!$L$2:$L$173)</f>
        <v>0</v>
      </c>
      <c r="K7" s="154">
        <f>+SUMIF(окт!$E$2:$E$267,СводкаРасходов[[#This Row],[Фирмы]],окт!$L$2:$L$267)</f>
        <v>0</v>
      </c>
      <c r="L7" s="154"/>
      <c r="M7" s="154"/>
      <c r="N7" s="5">
        <f>SUM(СводкаРасходов[[#This Row],[Январь]:[Декабрь]])</f>
        <v>13940000</v>
      </c>
      <c r="O7" s="6"/>
      <c r="P7" s="31">
        <f>IFERROR(+СводкаРасходов[[#This Row],[Итог]]/СводкаРасходов[[#Totals],[Итог]],0)</f>
        <v>2.3042909682661743E-3</v>
      </c>
    </row>
    <row r="8" spans="1:16" ht="17.100000000000001" customHeight="1" x14ac:dyDescent="0.4">
      <c r="A8" s="4" t="s">
        <v>445</v>
      </c>
      <c r="B8" s="154">
        <f>+SUMIF(янв!$E$5:$E$322,СводкаРасходов[[#This Row],[Фирмы]],янв!$L$5:$L$322)</f>
        <v>8343547</v>
      </c>
      <c r="C8" s="154">
        <f>+SUMIF(фев!$E$4:$E$231,СводкаРасходов[[#This Row],[Фирмы]],фев!$L$4:$L$231)</f>
        <v>5231052</v>
      </c>
      <c r="D8" s="154">
        <f>+SUMIF(мар!$E$5:$E$74,СводкаРасходов[[#This Row],[Фирмы]],мар!$L$5:$L$74)</f>
        <v>17918226</v>
      </c>
      <c r="E8" s="154">
        <f>+SUMIF(апр!$E$5:$E$24,СводкаРасходов[[#This Row],[Фирмы]],апр!$L$5:$L$24)</f>
        <v>19992000</v>
      </c>
      <c r="F8" s="154">
        <f>+SUMIF(май!$E$2:$E$32,СводкаРасходов[[#This Row],[Фирмы]],май!$L$2:$L$32)</f>
        <v>0</v>
      </c>
      <c r="G8" s="154">
        <f>+SUMIF(июн!$E$3:$E$17,СводкаРасходов[[#This Row],[Фирмы]],июн!$L$3:$L$17)</f>
        <v>0</v>
      </c>
      <c r="H8" s="5">
        <f>+SUMIF(июл!$E$2:$E$44,СводкаРасходов[[#This Row],[Фирмы]],июл!$L$2:$L$44)</f>
        <v>0</v>
      </c>
      <c r="I8" s="154">
        <f>+SUMIF(авг!$E$2:$E$191,СводкаРасходов[[#This Row],[Фирмы]],авг!$L$2:$L$191)</f>
        <v>13150000</v>
      </c>
      <c r="J8" s="154">
        <f>+SUMIF(сен!$E$2:$E$173,СводкаРасходов[[#This Row],[Фирмы]],сен!$L$2:$L$173)</f>
        <v>4090917</v>
      </c>
      <c r="K8" s="154">
        <f>+SUMIF(окт!$E$2:$E$267,СводкаРасходов[[#This Row],[Фирмы]],окт!$L$2:$L$267)</f>
        <v>32172449</v>
      </c>
      <c r="L8" s="154"/>
      <c r="M8" s="154"/>
      <c r="N8" s="5">
        <f>SUM(СводкаРасходов[[#This Row],[Январь]:[Декабрь]])</f>
        <v>100898191</v>
      </c>
      <c r="O8" s="6"/>
      <c r="P8" s="31">
        <f>IFERROR(+СводкаРасходов[[#This Row],[Итог]]/СводкаРасходов[[#Totals],[Итог]],0)</f>
        <v>1.6678535884913588E-2</v>
      </c>
    </row>
    <row r="9" spans="1:16" ht="17.100000000000001" hidden="1" customHeight="1" x14ac:dyDescent="0.4">
      <c r="A9" s="4" t="s">
        <v>320</v>
      </c>
      <c r="B9" s="5">
        <f>+SUMIF(янв!$E$5:$E$322,СводкаРасходов[[#This Row],[Фирмы]],янв!$L$5:$L$322)</f>
        <v>0</v>
      </c>
      <c r="C9" s="5">
        <f>+SUMIF(фев!$E$4:$E$231,СводкаРасходов[[#This Row],[Фирмы]],фев!$L$4:$L$231)</f>
        <v>0</v>
      </c>
      <c r="D9" s="5">
        <f>+SUMIF(мар!$E$5:$E$74,СводкаРасходов[[#This Row],[Фирмы]],мар!$L$5:$L$74)</f>
        <v>0</v>
      </c>
      <c r="E9" s="5">
        <f>+SUMIF(апр!$E$5:$E$24,СводкаРасходов[[#This Row],[Фирмы]],апр!$L$5:$L$24)</f>
        <v>0</v>
      </c>
      <c r="F9" s="5">
        <f>+SUMIF(май!$E$2:$E$32,СводкаРасходов[[#This Row],[Фирмы]],май!$L$2:$L$32)</f>
        <v>0</v>
      </c>
      <c r="G9" s="5">
        <f>+SUMIF(июн!$E$3:$E$17,СводкаРасходов[[#This Row],[Фирмы]],июн!$L$3:$L$17)</f>
        <v>0</v>
      </c>
      <c r="H9" s="5">
        <f>+SUMIF(июл!$E$2:$E$44,СводкаРасходов[[#This Row],[Фирмы]],июл!$L$2:$L$44)</f>
        <v>0</v>
      </c>
      <c r="I9" s="5">
        <f>+SUMIF(авг!$E$2:$E$191,СводкаРасходов[[#This Row],[Фирмы]],авг!$L$2:$L$191)</f>
        <v>0</v>
      </c>
      <c r="J9" s="5">
        <f>+SUMIF(сен!$E$2:$E$173,СводкаРасходов[[#This Row],[Фирмы]],сен!$L$2:$L$173)</f>
        <v>0</v>
      </c>
      <c r="K9" s="5">
        <f>+SUMIF(окт!$E$2:$E$267,СводкаРасходов[[#This Row],[Фирмы]],окт!$L$2:$L$267)</f>
        <v>0</v>
      </c>
      <c r="L9" s="5"/>
      <c r="M9" s="5"/>
      <c r="N9" s="5">
        <f>SUM(СводкаРасходов[[#This Row],[Январь]:[Декабрь]])</f>
        <v>0</v>
      </c>
      <c r="O9" s="6"/>
      <c r="P9" s="30">
        <f>IFERROR(+СводкаРасходов[[#This Row],[Итог]]/СводкаРасходов[[#Totals],[Итог]],0)</f>
        <v>0</v>
      </c>
    </row>
    <row r="10" spans="1:16" ht="17.100000000000001" customHeight="1" x14ac:dyDescent="0.4">
      <c r="A10" s="23" t="s">
        <v>330</v>
      </c>
      <c r="B10" s="5">
        <f>+SUMIF(янв!$E$5:$E$322,СводкаРасходов[[#This Row],[Фирмы]],янв!$L$5:$L$322)</f>
        <v>9980394</v>
      </c>
      <c r="C10" s="5">
        <f>+SUMIF(фев!$E$4:$E$231,СводкаРасходов[[#This Row],[Фирмы]],фев!$L$4:$L$231)</f>
        <v>0</v>
      </c>
      <c r="D10" s="5">
        <f>+SUMIF(мар!$E$5:$E$74,СводкаРасходов[[#This Row],[Фирмы]],мар!$L$5:$L$74)</f>
        <v>0</v>
      </c>
      <c r="E10" s="5">
        <f>+SUMIF(апр!$E$5:$E$24,СводкаРасходов[[#This Row],[Фирмы]],апр!$L$5:$L$24)</f>
        <v>0</v>
      </c>
      <c r="F10" s="5">
        <f>+SUMIF(май!$E$2:$E$32,СводкаРасходов[[#This Row],[Фирмы]],май!$L$2:$L$32)</f>
        <v>0</v>
      </c>
      <c r="G10" s="5">
        <f>+SUMIF(июн!$E$3:$E$17,СводкаРасходов[[#This Row],[Фирмы]],июн!$L$3:$L$17)</f>
        <v>0</v>
      </c>
      <c r="H10" s="5">
        <f>+SUMIF(июл!$E$2:$E$44,СводкаРасходов[[#This Row],[Фирмы]],июл!$L$2:$L$44)</f>
        <v>0</v>
      </c>
      <c r="I10" s="10">
        <f>+SUMIF(авг!$E$2:$E$191,СводкаРасходов[[#This Row],[Фирмы]],авг!$L$2:$L$191)</f>
        <v>0</v>
      </c>
      <c r="J10" s="10">
        <f>+SUMIF(сен!$E$2:$E$173,СводкаРасходов[[#This Row],[Фирмы]],сен!$L$2:$L$173)</f>
        <v>6222586</v>
      </c>
      <c r="K10" s="10">
        <f>+SUMIF(окт!$E$2:$E$267,СводкаРасходов[[#This Row],[Фирмы]],окт!$L$2:$L$267)</f>
        <v>0</v>
      </c>
      <c r="L10" s="10"/>
      <c r="M10" s="5"/>
      <c r="N10" s="5">
        <f>SUM(СводкаРасходов[[#This Row],[Январь]:[Декабрь]])</f>
        <v>16202980</v>
      </c>
      <c r="O10" s="6"/>
      <c r="P10" s="31">
        <f>IFERROR(+СводкаРасходов[[#This Row],[Итог]]/СводкаРасходов[[#Totals],[Итог]],0)</f>
        <v>2.6783630181490287E-3</v>
      </c>
    </row>
    <row r="11" spans="1:16" ht="17.100000000000001" hidden="1" customHeight="1" x14ac:dyDescent="0.4">
      <c r="A11" s="192" t="s">
        <v>429</v>
      </c>
      <c r="B11" s="154">
        <f>+SUMIF(янв!$E$5:$E$322,СводкаРасходов[[#This Row],[Фирмы]],янв!$L$5:$L$322)</f>
        <v>0</v>
      </c>
      <c r="C11" s="154">
        <f>+SUMIF(фев!$E$4:$E$231,СводкаРасходов[[#This Row],[Фирмы]],фев!$L$4:$L$231)</f>
        <v>0</v>
      </c>
      <c r="D11" s="154">
        <f>+SUMIF(мар!$E$5:$E$74,СводкаРасходов[[#This Row],[Фирмы]],мар!$L$5:$L$74)</f>
        <v>0</v>
      </c>
      <c r="E11" s="154">
        <f>+SUMIF(апр!$E$5:$E$24,СводкаРасходов[[#This Row],[Фирмы]],апр!$L$5:$L$24)</f>
        <v>0</v>
      </c>
      <c r="F11" s="154">
        <f>+SUMIF(май!$E$2:$E$32,СводкаРасходов[[#This Row],[Фирмы]],май!$L$2:$L$32)</f>
        <v>0</v>
      </c>
      <c r="G11" s="154">
        <f>+SUMIF(июн!$E$3:$E$17,СводкаРасходов[[#This Row],[Фирмы]],июн!$L$3:$L$17)</f>
        <v>0</v>
      </c>
      <c r="H11" s="5">
        <f>+SUMIF(июл!$E$2:$E$44,СводкаРасходов[[#This Row],[Фирмы]],июл!$L$2:$L$44)</f>
        <v>0</v>
      </c>
      <c r="I11" s="167">
        <f>+SUMIF(авг!$E$2:$E$191,СводкаРасходов[[#This Row],[Фирмы]],авг!$L$2:$L$191)</f>
        <v>0</v>
      </c>
      <c r="J11" s="167">
        <f>+SUMIF(сен!$E$2:$E$173,СводкаРасходов[[#This Row],[Фирмы]],сен!$L$2:$L$173)</f>
        <v>0</v>
      </c>
      <c r="K11" s="167">
        <f>+SUMIF(окт!$E$2:$E$267,СводкаРасходов[[#This Row],[Фирмы]],окт!$L$2:$L$267)</f>
        <v>0</v>
      </c>
      <c r="L11" s="167"/>
      <c r="M11" s="154"/>
      <c r="N11" s="5">
        <f>SUM(СводкаРасходов[[#This Row],[Январь]:[Декабрь]])</f>
        <v>0</v>
      </c>
      <c r="O11" s="6"/>
      <c r="P11" s="168">
        <f>IFERROR(+СводкаРасходов[[#This Row],[Итог]]/СводкаРасходов[[#Totals],[Итог]],0)</f>
        <v>0</v>
      </c>
    </row>
    <row r="12" spans="1:16" ht="17.100000000000001" hidden="1" customHeight="1" x14ac:dyDescent="0.4">
      <c r="A12" s="214" t="s">
        <v>430</v>
      </c>
      <c r="B12" s="154">
        <f>+SUMIF(янв!$E$5:$E$322,СводкаРасходов[[#This Row],[Фирмы]],янв!$L$5:$L$322)</f>
        <v>0</v>
      </c>
      <c r="C12" s="154">
        <f>+SUMIF(фев!$E$4:$E$231,СводкаРасходов[[#This Row],[Фирмы]],фев!$L$4:$L$231)</f>
        <v>0</v>
      </c>
      <c r="D12" s="154">
        <f>+SUMIF(мар!$E$5:$E$74,СводкаРасходов[[#This Row],[Фирмы]],мар!$L$5:$L$74)</f>
        <v>0</v>
      </c>
      <c r="E12" s="154">
        <f>+SUMIF(апр!$E$5:$E$24,СводкаРасходов[[#This Row],[Фирмы]],апр!$L$5:$L$24)</f>
        <v>0</v>
      </c>
      <c r="F12" s="154">
        <f>+SUMIF(май!$E$2:$E$32,СводкаРасходов[[#This Row],[Фирмы]],май!$L$2:$L$32)</f>
        <v>0</v>
      </c>
      <c r="G12" s="154">
        <f>+SUMIF(июн!$E$3:$E$17,СводкаРасходов[[#This Row],[Фирмы]],июн!$L$3:$L$17)</f>
        <v>0</v>
      </c>
      <c r="H12" s="215">
        <f>+SUMIF(июл!$E$2:$E$44,СводкаРасходов[[#This Row],[Фирмы]],июл!$L$2:$L$44)</f>
        <v>0</v>
      </c>
      <c r="I12" s="216">
        <f>+SUMIF(авг!$E$2:$E$191,СводкаРасходов[[#This Row],[Фирмы]],авг!$L$2:$L$191)</f>
        <v>0</v>
      </c>
      <c r="J12" s="216">
        <f>+SUMIF(сен!$E$2:$E$173,СводкаРасходов[[#This Row],[Фирмы]],сен!$L$2:$L$173)</f>
        <v>0</v>
      </c>
      <c r="K12" s="216">
        <f>+SUMIF(окт!$E$2:$E$267,СводкаРасходов[[#This Row],[Фирмы]],окт!$L$2:$L$267)</f>
        <v>0</v>
      </c>
      <c r="L12" s="216"/>
      <c r="M12" s="154"/>
      <c r="N12" s="5">
        <f>SUM(СводкаРасходов[[#This Row],[Январь]:[Декабрь]])</f>
        <v>0</v>
      </c>
      <c r="O12" s="6"/>
      <c r="P12" s="217">
        <f>IFERROR(+СводкаРасходов[[#This Row],[Итог]]/СводкаРасходов[[#Totals],[Итог]],0)</f>
        <v>0</v>
      </c>
    </row>
    <row r="13" spans="1:16" ht="17.100000000000001" customHeight="1" x14ac:dyDescent="0.4">
      <c r="A13" s="4" t="s">
        <v>1240</v>
      </c>
      <c r="B13" s="154">
        <f>+SUMIF(янв!$E$5:$E$322,СводкаРасходов[[#This Row],[Фирмы]],янв!$L$5:$L$322)</f>
        <v>0</v>
      </c>
      <c r="C13" s="154">
        <f>+SUMIF(фев!$E$4:$E$231,СводкаРасходов[[#This Row],[Фирмы]],фев!$L$4:$L$231)</f>
        <v>0</v>
      </c>
      <c r="D13" s="154">
        <f>+SUMIF(мар!$E$5:$E$74,СводкаРасходов[[#This Row],[Фирмы]],мар!$L$5:$L$74)</f>
        <v>0</v>
      </c>
      <c r="E13" s="154">
        <f>+SUMIF(апр!$E$5:$E$24,СводкаРасходов[[#This Row],[Фирмы]],апр!$L$5:$L$24)</f>
        <v>0</v>
      </c>
      <c r="F13" s="154">
        <f>+SUMIF(май!$E$2:$E$32,СводкаРасходов[[#This Row],[Фирмы]],май!$L$2:$L$32)</f>
        <v>0</v>
      </c>
      <c r="G13" s="154">
        <f>+SUMIF(июн!$E$3:$E$17,СводкаРасходов[[#This Row],[Фирмы]],июн!$L$3:$L$17)</f>
        <v>0</v>
      </c>
      <c r="H13" s="5">
        <f>+SUMIF(июл!$E$2:$E$44,СводкаРасходов[[#This Row],[Фирмы]],июл!$L$2:$L$44)</f>
        <v>0</v>
      </c>
      <c r="I13" s="154">
        <f>+SUMIF(авг!$E$2:$E$191,СводкаРасходов[[#This Row],[Фирмы]],авг!$L$2:$L$191)</f>
        <v>0</v>
      </c>
      <c r="J13" s="154">
        <f>+SUMIF(сен!$E$2:$E$173,СводкаРасходов[[#This Row],[Фирмы]],сен!$L$2:$L$173)</f>
        <v>23662336</v>
      </c>
      <c r="K13" s="154">
        <f>+SUMIF(окт!$E$2:$E$267,СводкаРасходов[[#This Row],[Фирмы]],окт!$L$2:$L$267)</f>
        <v>0</v>
      </c>
      <c r="L13" s="154"/>
      <c r="M13" s="154"/>
      <c r="N13" s="5">
        <f>SUM(СводкаРасходов[[#This Row],[Январь]:[Декабрь]])</f>
        <v>23662336</v>
      </c>
      <c r="O13" s="6"/>
      <c r="P13" s="31">
        <f>IFERROR(+СводкаРасходов[[#This Row],[Итог]]/СводкаРасходов[[#Totals],[Итог]],0)</f>
        <v>3.9113993639081461E-3</v>
      </c>
    </row>
    <row r="14" spans="1:16" ht="17.100000000000001" customHeight="1" x14ac:dyDescent="0.4">
      <c r="A14" s="4" t="s">
        <v>107</v>
      </c>
      <c r="B14" s="5">
        <f>+SUMIF(янв!$E$5:$E$322,СводкаРасходов[[#This Row],[Фирмы]],янв!$L$5:$L$322)</f>
        <v>66994063</v>
      </c>
      <c r="C14" s="5">
        <f>+SUMIF(фев!$E$4:$E$231,СводкаРасходов[[#This Row],[Фирмы]],фев!$L$4:$L$231)</f>
        <v>33480290</v>
      </c>
      <c r="D14" s="5">
        <f>+SUMIF(мар!$E$5:$E$74,СводкаРасходов[[#This Row],[Фирмы]],мар!$L$5:$L$74)</f>
        <v>0</v>
      </c>
      <c r="E14" s="5">
        <f>+SUMIF(апр!$E$5:$E$24,СводкаРасходов[[#This Row],[Фирмы]],апр!$L$5:$L$24)</f>
        <v>0</v>
      </c>
      <c r="F14" s="5">
        <f>+SUMIF(май!$E$2:$E$32,СводкаРасходов[[#This Row],[Фирмы]],май!$L$2:$L$32)</f>
        <v>0</v>
      </c>
      <c r="G14" s="5">
        <f>+SUMIF(июн!$E$3:$E$17,СводкаРасходов[[#This Row],[Фирмы]],июн!$L$3:$L$17)</f>
        <v>0</v>
      </c>
      <c r="H14" s="5">
        <f>+SUMIF(июл!$E$2:$E$44,СводкаРасходов[[#This Row],[Фирмы]],июл!$L$2:$L$44)</f>
        <v>0</v>
      </c>
      <c r="I14" s="5">
        <f>+SUMIF(авг!$E$2:$E$191,СводкаРасходов[[#This Row],[Фирмы]],авг!$L$2:$L$191)</f>
        <v>0</v>
      </c>
      <c r="J14" s="5">
        <f>+SUMIF(сен!$E$2:$E$173,СводкаРасходов[[#This Row],[Фирмы]],сен!$L$2:$L$173)</f>
        <v>0</v>
      </c>
      <c r="K14" s="5">
        <f>+SUMIF(окт!$E$2:$E$267,СводкаРасходов[[#This Row],[Фирмы]],окт!$L$2:$L$267)</f>
        <v>0</v>
      </c>
      <c r="L14" s="5"/>
      <c r="M14" s="5"/>
      <c r="N14" s="5">
        <f>SUM(СводкаРасходов[[#This Row],[Январь]:[Декабрь]])</f>
        <v>100474353</v>
      </c>
      <c r="O14" s="6"/>
      <c r="P14" s="30">
        <f>IFERROR(+СводкаРасходов[[#This Row],[Итог]]/СводкаРасходов[[#Totals],[Итог]],0)</f>
        <v>1.6608475190838409E-2</v>
      </c>
    </row>
    <row r="15" spans="1:16" ht="17.100000000000001" hidden="1" customHeight="1" x14ac:dyDescent="0.4">
      <c r="A15" s="191" t="s">
        <v>431</v>
      </c>
      <c r="B15" s="154">
        <f>+SUMIF(янв!$E$5:$E$322,СводкаРасходов[[#This Row],[Фирмы]],янв!$L$5:$L$322)</f>
        <v>0</v>
      </c>
      <c r="C15" s="154">
        <f>+SUMIF(фев!$E$4:$E$231,СводкаРасходов[[#This Row],[Фирмы]],фев!$L$4:$L$231)</f>
        <v>0</v>
      </c>
      <c r="D15" s="154">
        <f>+SUMIF(мар!$E$5:$E$74,СводкаРасходов[[#This Row],[Фирмы]],мар!$L$5:$L$74)</f>
        <v>0</v>
      </c>
      <c r="E15" s="154">
        <f>+SUMIF(апр!$E$5:$E$24,СводкаРасходов[[#This Row],[Фирмы]],апр!$L$5:$L$24)</f>
        <v>0</v>
      </c>
      <c r="F15" s="154">
        <f>+SUMIF(май!$E$2:$E$32,СводкаРасходов[[#This Row],[Фирмы]],май!$L$2:$L$32)</f>
        <v>0</v>
      </c>
      <c r="G15" s="154">
        <f>+SUMIF(июн!$E$3:$E$17,СводкаРасходов[[#This Row],[Фирмы]],июн!$L$3:$L$17)</f>
        <v>0</v>
      </c>
      <c r="H15" s="154">
        <f>+SUMIF(июл!$E$2:$E$44,СводкаРасходов[[#This Row],[Фирмы]],июл!$L$2:$L$44)</f>
        <v>0</v>
      </c>
      <c r="I15" s="154">
        <f>+SUMIF(авг!$E$2:$E$191,СводкаРасходов[[#This Row],[Фирмы]],авг!$L$2:$L$191)</f>
        <v>0</v>
      </c>
      <c r="J15" s="154">
        <f>+SUMIF(сен!$E$2:$E$173,СводкаРасходов[[#This Row],[Фирмы]],сен!$L$2:$L$173)</f>
        <v>0</v>
      </c>
      <c r="K15" s="154">
        <f>+SUMIF(окт!$E$2:$E$267,СводкаРасходов[[#This Row],[Фирмы]],окт!$L$2:$L$267)</f>
        <v>0</v>
      </c>
      <c r="L15" s="154"/>
      <c r="M15" s="154"/>
      <c r="N15" s="5">
        <f>SUM(СводкаРасходов[[#This Row],[Январь]:[Декабрь]])</f>
        <v>0</v>
      </c>
      <c r="O15" s="6"/>
      <c r="P15" s="31">
        <f>IFERROR(+СводкаРасходов[[#This Row],[Итог]]/СводкаРасходов[[#Totals],[Итог]],0)</f>
        <v>0</v>
      </c>
    </row>
    <row r="16" spans="1:16" ht="17.100000000000001" customHeight="1" x14ac:dyDescent="0.4">
      <c r="A16" s="191" t="s">
        <v>121</v>
      </c>
      <c r="B16" s="154">
        <f>+SUMIF(янв!$E$5:$E$322,СводкаРасходов[[#This Row],[Фирмы]],янв!$L$5:$L$322)</f>
        <v>295634908</v>
      </c>
      <c r="C16" s="154">
        <f>+SUMIF(фев!$E$4:$E$231,СводкаРасходов[[#This Row],[Фирмы]],фев!$L$4:$L$231)</f>
        <v>299739427</v>
      </c>
      <c r="D16" s="154">
        <f>+SUMIF(мар!$E$5:$E$74,СводкаРасходов[[#This Row],[Фирмы]],мар!$L$5:$L$74)</f>
        <v>74751243</v>
      </c>
      <c r="E16" s="154">
        <f>+SUMIF(апр!$E$5:$E$24,СводкаРасходов[[#This Row],[Фирмы]],апр!$L$5:$L$24)</f>
        <v>0</v>
      </c>
      <c r="F16" s="154">
        <f>+SUMIF(май!$E$2:$E$32,СводкаРасходов[[#This Row],[Фирмы]],май!$L$2:$L$32)</f>
        <v>0</v>
      </c>
      <c r="G16" s="154">
        <f>+SUMIF(июн!$E$3:$E$17,СводкаРасходов[[#This Row],[Фирмы]],июн!$L$3:$L$17)</f>
        <v>2616562</v>
      </c>
      <c r="H16" s="154">
        <f>+SUMIF(июл!$E$2:$E$44,СводкаРасходов[[#This Row],[Фирмы]],июл!$L$2:$L$44)</f>
        <v>0</v>
      </c>
      <c r="I16" s="154">
        <f>+SUMIF(авг!$E$2:$E$191,СводкаРасходов[[#This Row],[Фирмы]],авг!$L$2:$L$191)</f>
        <v>0</v>
      </c>
      <c r="J16" s="154">
        <f>+SUMIF(сен!$E$2:$E$173,СводкаРасходов[[#This Row],[Фирмы]],сен!$L$2:$L$173)</f>
        <v>158146114</v>
      </c>
      <c r="K16" s="154">
        <f>+SUMIF(окт!$E$2:$E$267,СводкаРасходов[[#This Row],[Фирмы]],окт!$L$2:$L$267)</f>
        <v>241087491</v>
      </c>
      <c r="L16" s="154"/>
      <c r="M16" s="154"/>
      <c r="N16" s="5">
        <f>SUM(СводкаРасходов[[#This Row],[Январь]:[Декабрь]])</f>
        <v>1071975745</v>
      </c>
      <c r="O16" s="6"/>
      <c r="P16" s="31">
        <f>IFERROR(+СводкаРасходов[[#This Row],[Итог]]/СводкаРасходов[[#Totals],[Итог]],0)</f>
        <v>0.17719828030157128</v>
      </c>
    </row>
    <row r="17" spans="1:16" ht="17.100000000000001" customHeight="1" x14ac:dyDescent="0.4">
      <c r="A17" s="191" t="s">
        <v>432</v>
      </c>
      <c r="B17" s="154">
        <f>+SUMIF(янв!$E$5:$E$322,СводкаРасходов[[#This Row],[Фирмы]],янв!$L$5:$L$322)</f>
        <v>0</v>
      </c>
      <c r="C17" s="154">
        <f>+SUMIF(фев!$E$4:$E$231,СводкаРасходов[[#This Row],[Фирмы]],фев!$L$4:$L$231)</f>
        <v>60787877</v>
      </c>
      <c r="D17" s="154">
        <f>+SUMIF(мар!$E$5:$E$74,СводкаРасходов[[#This Row],[Фирмы]],мар!$L$5:$L$74)</f>
        <v>1093578</v>
      </c>
      <c r="E17" s="154">
        <f>+SUMIF(апр!$E$5:$E$24,СводкаРасходов[[#This Row],[Фирмы]],апр!$L$5:$L$24)</f>
        <v>0</v>
      </c>
      <c r="F17" s="154">
        <f>+SUMIF(май!$E$2:$E$32,СводкаРасходов[[#This Row],[Фирмы]],май!$L$2:$L$32)</f>
        <v>0</v>
      </c>
      <c r="G17" s="154">
        <f>+SUMIF(июн!$E$3:$E$17,СводкаРасходов[[#This Row],[Фирмы]],июн!$L$3:$L$17)</f>
        <v>0</v>
      </c>
      <c r="H17" s="154">
        <f>+SUMIF(июл!$E$2:$E$44,СводкаРасходов[[#This Row],[Фирмы]],июл!$L$2:$L$44)</f>
        <v>0</v>
      </c>
      <c r="I17" s="154">
        <f>+SUMIF(авг!$E$2:$E$191,СводкаРасходов[[#This Row],[Фирмы]],авг!$L$2:$L$191)</f>
        <v>0</v>
      </c>
      <c r="J17" s="154">
        <f>+SUMIF(сен!$E$2:$E$173,СводкаРасходов[[#This Row],[Фирмы]],сен!$L$2:$L$173)</f>
        <v>39374842</v>
      </c>
      <c r="K17" s="154">
        <f>+SUMIF(окт!$E$2:$E$267,СводкаРасходов[[#This Row],[Фирмы]],окт!$L$2:$L$267)</f>
        <v>9238026</v>
      </c>
      <c r="L17" s="154"/>
      <c r="M17" s="154"/>
      <c r="N17" s="5">
        <f>SUM(СводкаРасходов[[#This Row],[Январь]:[Декабрь]])</f>
        <v>110494323</v>
      </c>
      <c r="O17" s="6"/>
      <c r="P17" s="31">
        <f>IFERROR(+СводкаРасходов[[#This Row],[Итог]]/СводкаРасходов[[#Totals],[Итог]],0)</f>
        <v>1.8264782678162512E-2</v>
      </c>
    </row>
    <row r="18" spans="1:16" ht="17.100000000000001" hidden="1" customHeight="1" x14ac:dyDescent="0.4">
      <c r="A18" s="191" t="s">
        <v>303</v>
      </c>
      <c r="B18" s="154">
        <f>+SUMIF(янв!$E$5:$E$322,СводкаРасходов[[#This Row],[Фирмы]],янв!$L$5:$L$322)</f>
        <v>0</v>
      </c>
      <c r="C18" s="154">
        <f>+SUMIF(фев!$E$4:$E$231,СводкаРасходов[[#This Row],[Фирмы]],фев!$L$4:$L$231)</f>
        <v>0</v>
      </c>
      <c r="D18" s="154">
        <f>+SUMIF(мар!$E$5:$E$74,СводкаРасходов[[#This Row],[Фирмы]],мар!$L$5:$L$74)</f>
        <v>0</v>
      </c>
      <c r="E18" s="154">
        <f>+SUMIF(апр!$E$5:$E$24,СводкаРасходов[[#This Row],[Фирмы]],апр!$L$5:$L$24)</f>
        <v>0</v>
      </c>
      <c r="F18" s="154">
        <f>+SUMIF(май!$E$2:$E$32,СводкаРасходов[[#This Row],[Фирмы]],май!$L$2:$L$32)</f>
        <v>0</v>
      </c>
      <c r="G18" s="154">
        <f>+SUMIF(июн!$E$3:$E$17,СводкаРасходов[[#This Row],[Фирмы]],июн!$L$3:$L$17)</f>
        <v>0</v>
      </c>
      <c r="H18" s="154">
        <f>+SUMIF(июл!$E$2:$E$44,СводкаРасходов[[#This Row],[Фирмы]],июл!$L$2:$L$44)</f>
        <v>0</v>
      </c>
      <c r="I18" s="154">
        <f>+SUMIF(авг!$E$2:$E$191,СводкаРасходов[[#This Row],[Фирмы]],авг!$L$2:$L$191)</f>
        <v>0</v>
      </c>
      <c r="J18" s="154">
        <f>+SUMIF(сен!$E$2:$E$173,СводкаРасходов[[#This Row],[Фирмы]],сен!$L$2:$L$173)</f>
        <v>0</v>
      </c>
      <c r="K18" s="154">
        <f>+SUMIF(окт!$E$2:$E$267,СводкаРасходов[[#This Row],[Фирмы]],окт!$L$2:$L$267)</f>
        <v>0</v>
      </c>
      <c r="L18" s="154"/>
      <c r="M18" s="154"/>
      <c r="N18" s="5">
        <f>SUM(СводкаРасходов[[#This Row],[Январь]:[Декабрь]])</f>
        <v>0</v>
      </c>
      <c r="O18" s="6"/>
      <c r="P18" s="31">
        <f>IFERROR(+СводкаРасходов[[#This Row],[Итог]]/СводкаРасходов[[#Totals],[Итог]],0)</f>
        <v>0</v>
      </c>
    </row>
    <row r="19" spans="1:16" ht="17.100000000000001" customHeight="1" x14ac:dyDescent="0.4">
      <c r="A19" s="191" t="s">
        <v>446</v>
      </c>
      <c r="B19" s="154">
        <f>+SUMIF(янв!$E$5:$E$322,СводкаРасходов[[#This Row],[Фирмы]],янв!$L$5:$L$322)</f>
        <v>0</v>
      </c>
      <c r="C19" s="154">
        <f>+SUMIF(фев!$E$4:$E$231,СводкаРасходов[[#This Row],[Фирмы]],фев!$L$4:$L$231)</f>
        <v>14354087</v>
      </c>
      <c r="D19" s="154">
        <f>+SUMIF(мар!$E$5:$E$74,СводкаРасходов[[#This Row],[Фирмы]],мар!$L$5:$L$74)</f>
        <v>0</v>
      </c>
      <c r="E19" s="154">
        <f>+SUMIF(апр!$E$5:$E$24,СводкаРасходов[[#This Row],[Фирмы]],апр!$L$5:$L$24)</f>
        <v>0</v>
      </c>
      <c r="F19" s="154">
        <f>+SUMIF(май!$E$2:$E$32,СводкаРасходов[[#This Row],[Фирмы]],май!$L$2:$L$32)</f>
        <v>0</v>
      </c>
      <c r="G19" s="154">
        <f>+SUMIF(июн!$E$3:$E$17,СводкаРасходов[[#This Row],[Фирмы]],июн!$L$3:$L$17)</f>
        <v>0</v>
      </c>
      <c r="H19" s="154">
        <f>+SUMIF(июл!$E$2:$E$44,СводкаРасходов[[#This Row],[Фирмы]],июл!$L$2:$L$44)</f>
        <v>0</v>
      </c>
      <c r="I19" s="154">
        <f>+SUMIF(авг!$E$2:$E$191,СводкаРасходов[[#This Row],[Фирмы]],авг!$L$2:$L$191)</f>
        <v>0</v>
      </c>
      <c r="J19" s="154">
        <f>+SUMIF(сен!$E$2:$E$173,СводкаРасходов[[#This Row],[Фирмы]],сен!$L$2:$L$173)</f>
        <v>0</v>
      </c>
      <c r="K19" s="154">
        <f>+SUMIF(окт!$E$2:$E$267,СводкаРасходов[[#This Row],[Фирмы]],окт!$L$2:$L$267)</f>
        <v>0</v>
      </c>
      <c r="L19" s="154"/>
      <c r="M19" s="154"/>
      <c r="N19" s="5">
        <f>SUM(СводкаРасходов[[#This Row],[Январь]:[Декабрь]])</f>
        <v>14354087</v>
      </c>
      <c r="O19" s="6"/>
      <c r="P19" s="31">
        <f>IFERROR(+СводкаРасходов[[#This Row],[Итог]]/СводкаРасходов[[#Totals],[Итог]],0)</f>
        <v>2.3727398157680707E-3</v>
      </c>
    </row>
    <row r="20" spans="1:16" ht="17.100000000000001" hidden="1" customHeight="1" x14ac:dyDescent="0.4">
      <c r="A20" s="191" t="s">
        <v>298</v>
      </c>
      <c r="B20" s="154">
        <f>+SUMIF(янв!$E$5:$E$322,СводкаРасходов[[#This Row],[Фирмы]],янв!$L$5:$L$322)</f>
        <v>0</v>
      </c>
      <c r="C20" s="154">
        <f>+SUMIF(фев!$E$4:$E$231,СводкаРасходов[[#This Row],[Фирмы]],фев!$L$4:$L$231)</f>
        <v>0</v>
      </c>
      <c r="D20" s="154">
        <f>+SUMIF(мар!$E$5:$E$74,СводкаРасходов[[#This Row],[Фирмы]],мар!$L$5:$L$74)</f>
        <v>0</v>
      </c>
      <c r="E20" s="154">
        <f>+SUMIF(апр!$E$5:$E$24,СводкаРасходов[[#This Row],[Фирмы]],апр!$L$5:$L$24)</f>
        <v>0</v>
      </c>
      <c r="F20" s="154">
        <f>+SUMIF(май!$E$2:$E$32,СводкаРасходов[[#This Row],[Фирмы]],май!$L$2:$L$32)</f>
        <v>0</v>
      </c>
      <c r="G20" s="154">
        <f>+SUMIF(июн!$E$3:$E$17,СводкаРасходов[[#This Row],[Фирмы]],июн!$L$3:$L$17)</f>
        <v>0</v>
      </c>
      <c r="H20" s="154">
        <f>+SUMIF(июл!$E$2:$E$44,СводкаРасходов[[#This Row],[Фирмы]],июл!$L$2:$L$44)</f>
        <v>0</v>
      </c>
      <c r="I20" s="154">
        <f>+SUMIF(авг!$E$2:$E$191,СводкаРасходов[[#This Row],[Фирмы]],авг!$L$2:$L$191)</f>
        <v>0</v>
      </c>
      <c r="J20" s="154">
        <f>+SUMIF(сен!$E$2:$E$173,СводкаРасходов[[#This Row],[Фирмы]],сен!$L$2:$L$173)</f>
        <v>0</v>
      </c>
      <c r="K20" s="154">
        <f>+SUMIF(окт!$E$2:$E$267,СводкаРасходов[[#This Row],[Фирмы]],окт!$L$2:$L$267)</f>
        <v>0</v>
      </c>
      <c r="L20" s="154"/>
      <c r="M20" s="154"/>
      <c r="N20" s="5">
        <f>SUM(СводкаРасходов[[#This Row],[Январь]:[Декабрь]])</f>
        <v>0</v>
      </c>
      <c r="O20" s="6"/>
      <c r="P20" s="31">
        <f>IFERROR(+СводкаРасходов[[#This Row],[Итог]]/СводкаРасходов[[#Totals],[Итог]],0)</f>
        <v>0</v>
      </c>
    </row>
    <row r="21" spans="1:16" ht="17.100000000000001" customHeight="1" x14ac:dyDescent="0.4">
      <c r="A21" s="191" t="s">
        <v>314</v>
      </c>
      <c r="B21" s="154">
        <f>+SUMIF(янв!$E$5:$E$322,СводкаРасходов[[#This Row],[Фирмы]],янв!$L$5:$L$322)</f>
        <v>32389244</v>
      </c>
      <c r="C21" s="154">
        <f>+SUMIF(фев!$E$4:$E$231,СводкаРасходов[[#This Row],[Фирмы]],фев!$L$4:$L$231)</f>
        <v>9220436</v>
      </c>
      <c r="D21" s="154">
        <f>+SUMIF(мар!$E$5:$E$74,СводкаРасходов[[#This Row],[Фирмы]],мар!$L$5:$L$74)</f>
        <v>13916388</v>
      </c>
      <c r="E21" s="154">
        <f>+SUMIF(апр!$E$5:$E$24,СводкаРасходов[[#This Row],[Фирмы]],апр!$L$5:$L$24)</f>
        <v>0</v>
      </c>
      <c r="F21" s="154">
        <f>+SUMIF(май!$E$2:$E$32,СводкаРасходов[[#This Row],[Фирмы]],май!$L$2:$L$32)</f>
        <v>0</v>
      </c>
      <c r="G21" s="154">
        <f>+SUMIF(июн!$E$3:$E$17,СводкаРасходов[[#This Row],[Фирмы]],июн!$L$3:$L$17)</f>
        <v>0</v>
      </c>
      <c r="H21" s="154">
        <f>+SUMIF(июл!$E$2:$E$44,СводкаРасходов[[#This Row],[Фирмы]],июл!$L$2:$L$44)</f>
        <v>0</v>
      </c>
      <c r="I21" s="154">
        <f>+SUMIF(авг!$E$2:$E$191,СводкаРасходов[[#This Row],[Фирмы]],авг!$L$2:$L$191)</f>
        <v>0</v>
      </c>
      <c r="J21" s="154">
        <f>+SUMIF(сен!$E$2:$E$173,СводкаРасходов[[#This Row],[Фирмы]],сен!$L$2:$L$173)</f>
        <v>0</v>
      </c>
      <c r="K21" s="154">
        <f>+SUMIF(окт!$E$2:$E$267,СводкаРасходов[[#This Row],[Фирмы]],окт!$L$2:$L$267)</f>
        <v>0</v>
      </c>
      <c r="L21" s="154"/>
      <c r="M21" s="154"/>
      <c r="N21" s="5">
        <f>SUM(СводкаРасходов[[#This Row],[Январь]:[Декабрь]])</f>
        <v>55526068</v>
      </c>
      <c r="O21" s="6"/>
      <c r="P21" s="31">
        <f>IFERROR(+СводкаРасходов[[#This Row],[Итог]]/СводкаРасходов[[#Totals],[Итог]],0)</f>
        <v>9.1784947629650962E-3</v>
      </c>
    </row>
    <row r="22" spans="1:16" ht="17.100000000000001" customHeight="1" x14ac:dyDescent="0.4">
      <c r="A22" s="191" t="s">
        <v>218</v>
      </c>
      <c r="B22" s="154">
        <f>+SUMIF(янв!$E$5:$E$322,СводкаРасходов[[#This Row],[Фирмы]],янв!$L$5:$L$322)</f>
        <v>0</v>
      </c>
      <c r="C22" s="154">
        <f>+SUMIF(фев!$E$4:$E$231,СводкаРасходов[[#This Row],[Фирмы]],фев!$L$4:$L$231)</f>
        <v>44644004</v>
      </c>
      <c r="D22" s="154">
        <f>+SUMIF(мар!$E$5:$E$74,СводкаРасходов[[#This Row],[Фирмы]],мар!$L$5:$L$74)</f>
        <v>9167396</v>
      </c>
      <c r="E22" s="154">
        <f>+SUMIF(апр!$E$5:$E$24,СводкаРасходов[[#This Row],[Фирмы]],апр!$L$5:$L$24)</f>
        <v>0</v>
      </c>
      <c r="F22" s="154">
        <f>+SUMIF(май!$E$2:$E$32,СводкаРасходов[[#This Row],[Фирмы]],май!$L$2:$L$32)</f>
        <v>0</v>
      </c>
      <c r="G22" s="154">
        <f>+SUMIF(июн!$E$3:$E$17,СводкаРасходов[[#This Row],[Фирмы]],июн!$L$3:$L$17)</f>
        <v>0</v>
      </c>
      <c r="H22" s="154">
        <f>+SUMIF(июл!$E$2:$E$44,СводкаРасходов[[#This Row],[Фирмы]],июл!$L$2:$L$44)</f>
        <v>0</v>
      </c>
      <c r="I22" s="154">
        <f>+SUMIF(авг!$E$2:$E$191,СводкаРасходов[[#This Row],[Фирмы]],авг!$L$2:$L$191)</f>
        <v>0</v>
      </c>
      <c r="J22" s="154">
        <f>+SUMIF(сен!$E$2:$E$173,СводкаРасходов[[#This Row],[Фирмы]],сен!$L$2:$L$173)</f>
        <v>0</v>
      </c>
      <c r="K22" s="154">
        <f>+SUMIF(окт!$E$2:$E$267,СводкаРасходов[[#This Row],[Фирмы]],окт!$L$2:$L$267)</f>
        <v>0</v>
      </c>
      <c r="L22" s="154"/>
      <c r="M22" s="154"/>
      <c r="N22" s="5">
        <f>SUM(СводкаРасходов[[#This Row],[Январь]:[Декабрь]])</f>
        <v>53811400</v>
      </c>
      <c r="O22" s="6"/>
      <c r="P22" s="31">
        <f>IFERROR(+СводкаРасходов[[#This Row],[Итог]]/СводкаРасходов[[#Totals],[Итог]],0)</f>
        <v>8.8950590394374762E-3</v>
      </c>
    </row>
    <row r="23" spans="1:16" ht="17.100000000000001" customHeight="1" x14ac:dyDescent="0.4">
      <c r="A23" s="191" t="s">
        <v>433</v>
      </c>
      <c r="B23" s="154">
        <f>+SUMIF(янв!$E$5:$E$322,СводкаРасходов[[#This Row],[Фирмы]],янв!$L$5:$L$322)</f>
        <v>0</v>
      </c>
      <c r="C23" s="154">
        <f>+SUMIF(фев!$E$4:$E$231,СводкаРасходов[[#This Row],[Фирмы]],фев!$L$4:$L$231)</f>
        <v>2831648</v>
      </c>
      <c r="D23" s="154">
        <f>+SUMIF(мар!$E$5:$E$74,СводкаРасходов[[#This Row],[Фирмы]],мар!$L$5:$L$74)</f>
        <v>0</v>
      </c>
      <c r="E23" s="154">
        <f>+SUMIF(апр!$E$5:$E$24,СводкаРасходов[[#This Row],[Фирмы]],апр!$L$5:$L$24)</f>
        <v>0</v>
      </c>
      <c r="F23" s="154">
        <f>+SUMIF(май!$E$2:$E$32,СводкаРасходов[[#This Row],[Фирмы]],май!$L$2:$L$32)</f>
        <v>0</v>
      </c>
      <c r="G23" s="154">
        <f>+SUMIF(июн!$E$3:$E$17,СводкаРасходов[[#This Row],[Фирмы]],июн!$L$3:$L$17)</f>
        <v>18423168</v>
      </c>
      <c r="H23" s="154">
        <f>+SUMIF(июл!$E$2:$E$44,СводкаРасходов[[#This Row],[Фирмы]],июл!$L$2:$L$44)</f>
        <v>45326322</v>
      </c>
      <c r="I23" s="154">
        <f>+SUMIF(авг!$E$2:$E$191,СводкаРасходов[[#This Row],[Фирмы]],авг!$L$2:$L$191)</f>
        <v>0</v>
      </c>
      <c r="J23" s="154">
        <f>+SUMIF(сен!$E$2:$E$173,СводкаРасходов[[#This Row],[Фирмы]],сен!$L$2:$L$173)</f>
        <v>0</v>
      </c>
      <c r="K23" s="154">
        <f>+SUMIF(окт!$E$2:$E$267,СводкаРасходов[[#This Row],[Фирмы]],окт!$L$2:$L$267)</f>
        <v>0</v>
      </c>
      <c r="L23" s="154"/>
      <c r="M23" s="154"/>
      <c r="N23" s="5">
        <f>SUM(СводкаРасходов[[#This Row],[Январь]:[Декабрь]])</f>
        <v>66581138</v>
      </c>
      <c r="O23" s="6"/>
      <c r="P23" s="31">
        <f>IFERROR(+СводкаРасходов[[#This Row],[Итог]]/СводкаРасходов[[#Totals],[Итог]],0)</f>
        <v>1.1005904946218349E-2</v>
      </c>
    </row>
    <row r="24" spans="1:16" ht="17.100000000000001" customHeight="1" x14ac:dyDescent="0.4">
      <c r="A24" s="191" t="s">
        <v>308</v>
      </c>
      <c r="B24" s="154">
        <f>+SUMIF(янв!$E$5:$E$322,СводкаРасходов[[#This Row],[Фирмы]],янв!$L$5:$L$322)</f>
        <v>23410142</v>
      </c>
      <c r="C24" s="154">
        <f>+SUMIF(фев!$E$4:$E$231,СводкаРасходов[[#This Row],[Фирмы]],фев!$L$4:$L$231)</f>
        <v>36908052</v>
      </c>
      <c r="D24" s="154">
        <f>+SUMIF(мар!$E$5:$E$74,СводкаРасходов[[#This Row],[Фирмы]],мар!$L$5:$L$74)</f>
        <v>12015077</v>
      </c>
      <c r="E24" s="154">
        <f>+SUMIF(апр!$E$5:$E$24,СводкаРасходов[[#This Row],[Фирмы]],апр!$L$5:$L$24)</f>
        <v>0</v>
      </c>
      <c r="F24" s="154">
        <f>+SUMIF(май!$E$2:$E$32,СводкаРасходов[[#This Row],[Фирмы]],май!$L$2:$L$32)</f>
        <v>7931000</v>
      </c>
      <c r="G24" s="154">
        <f>+SUMIF(июн!$E$3:$E$17,СводкаРасходов[[#This Row],[Фирмы]],июн!$L$3:$L$17)</f>
        <v>0</v>
      </c>
      <c r="H24" s="154">
        <f>+SUMIF(июл!$E$2:$E$44,СводкаРасходов[[#This Row],[Фирмы]],июл!$L$2:$L$44)</f>
        <v>0</v>
      </c>
      <c r="I24" s="154">
        <f>+SUMIF(авг!$E$2:$E$191,СводкаРасходов[[#This Row],[Фирмы]],авг!$L$2:$L$191)</f>
        <v>0</v>
      </c>
      <c r="J24" s="154">
        <f>+SUMIF(сен!$E$2:$E$173,СводкаРасходов[[#This Row],[Фирмы]],сен!$L$2:$L$173)</f>
        <v>28139970</v>
      </c>
      <c r="K24" s="154">
        <f>+SUMIF(окт!$E$2:$E$267,СводкаРасходов[[#This Row],[Фирмы]],окт!$L$2:$L$267)</f>
        <v>18415727</v>
      </c>
      <c r="L24" s="154"/>
      <c r="M24" s="154"/>
      <c r="N24" s="5">
        <f>SUM(СводкаРасходов[[#This Row],[Январь]:[Декабрь]])</f>
        <v>126819968</v>
      </c>
      <c r="O24" s="6"/>
      <c r="P24" s="31">
        <f>IFERROR(+СводкаРасходов[[#This Row],[Итог]]/СводкаРасходов[[#Totals],[Итог]],0)</f>
        <v>2.096342229972778E-2</v>
      </c>
    </row>
    <row r="25" spans="1:16" ht="17.100000000000001" customHeight="1" x14ac:dyDescent="0.4">
      <c r="A25" s="191" t="s">
        <v>1143</v>
      </c>
      <c r="B25" s="154">
        <f>+SUMIF(янв!$E$5:$E$322,СводкаРасходов[[#This Row],[Фирмы]],янв!$L$5:$L$322)</f>
        <v>0</v>
      </c>
      <c r="C25" s="154">
        <f>+SUMIF(фев!$E$4:$E$231,СводкаРасходов[[#This Row],[Фирмы]],фев!$L$4:$L$231)</f>
        <v>0</v>
      </c>
      <c r="D25" s="154">
        <f>+SUMIF(мар!$E$5:$E$74,СводкаРасходов[[#This Row],[Фирмы]],мар!$L$5:$L$74)</f>
        <v>0</v>
      </c>
      <c r="E25" s="154">
        <f>+SUMIF(апр!$E$5:$E$24,СводкаРасходов[[#This Row],[Фирмы]],апр!$L$5:$L$24)</f>
        <v>0</v>
      </c>
      <c r="F25" s="154">
        <f>+SUMIF(май!$E$2:$E$32,СводкаРасходов[[#This Row],[Фирмы]],май!$L$2:$L$32)</f>
        <v>0</v>
      </c>
      <c r="G25" s="154">
        <f>+SUMIF(июн!$E$3:$E$17,СводкаРасходов[[#This Row],[Фирмы]],июн!$L$3:$L$17)</f>
        <v>0</v>
      </c>
      <c r="H25" s="154">
        <f>+SUMIF(июл!$E$2:$E$44,СводкаРасходов[[#This Row],[Фирмы]],июл!$L$2:$L$44)</f>
        <v>0</v>
      </c>
      <c r="I25" s="154">
        <f>+SUMIF(авг!$E$2:$E$191,СводкаРасходов[[#This Row],[Фирмы]],авг!$L$2:$L$191)</f>
        <v>412206000</v>
      </c>
      <c r="J25" s="154">
        <f>+SUMIF(сен!$E$2:$E$173,СводкаРасходов[[#This Row],[Фирмы]],сен!$L$2:$L$173)</f>
        <v>0</v>
      </c>
      <c r="K25" s="154">
        <f>+SUMIF(окт!$E$2:$E$267,СводкаРасходов[[#This Row],[Фирмы]],окт!$L$2:$L$267)</f>
        <v>0</v>
      </c>
      <c r="L25" s="154"/>
      <c r="M25" s="154"/>
      <c r="N25" s="5">
        <f>SUM(СводкаРасходов[[#This Row],[Январь]:[Декабрь]])</f>
        <v>412206000</v>
      </c>
      <c r="O25" s="6"/>
      <c r="P25" s="31">
        <f>IFERROR(+СводкаРасходов[[#This Row],[Итог]]/СводкаРасходов[[#Totals],[Итог]],0)</f>
        <v>6.8137916991759445E-2</v>
      </c>
    </row>
    <row r="26" spans="1:16" ht="17.100000000000001" customHeight="1" x14ac:dyDescent="0.4">
      <c r="A26" s="191" t="s">
        <v>434</v>
      </c>
      <c r="B26" s="154">
        <f>+SUMIF(янв!$E$5:$E$322,СводкаРасходов[[#This Row],[Фирмы]],янв!$L$5:$L$322)</f>
        <v>0</v>
      </c>
      <c r="C26" s="154">
        <f>+SUMIF(фев!$E$4:$E$231,СводкаРасходов[[#This Row],[Фирмы]],фев!$L$4:$L$231)</f>
        <v>10564401</v>
      </c>
      <c r="D26" s="154">
        <f>+SUMIF(мар!$E$5:$E$74,СводкаРасходов[[#This Row],[Фирмы]],мар!$L$5:$L$74)</f>
        <v>9833543</v>
      </c>
      <c r="E26" s="154">
        <f>+SUMIF(апр!$E$5:$E$24,СводкаРасходов[[#This Row],[Фирмы]],апр!$L$5:$L$24)</f>
        <v>0</v>
      </c>
      <c r="F26" s="154">
        <f>+SUMIF(май!$E$2:$E$32,СводкаРасходов[[#This Row],[Фирмы]],май!$L$2:$L$32)</f>
        <v>0</v>
      </c>
      <c r="G26" s="154">
        <f>+SUMIF(июн!$E$3:$E$17,СводкаРасходов[[#This Row],[Фирмы]],июн!$L$3:$L$17)</f>
        <v>0</v>
      </c>
      <c r="H26" s="154">
        <f>+SUMIF(июл!$E$2:$E$44,СводкаРасходов[[#This Row],[Фирмы]],июл!$L$2:$L$44)</f>
        <v>0</v>
      </c>
      <c r="I26" s="154">
        <f>+SUMIF(авг!$E$2:$E$191,СводкаРасходов[[#This Row],[Фирмы]],авг!$L$2:$L$191)</f>
        <v>0</v>
      </c>
      <c r="J26" s="154">
        <f>+SUMIF(сен!$E$2:$E$173,СводкаРасходов[[#This Row],[Фирмы]],сен!$L$2:$L$173)</f>
        <v>0</v>
      </c>
      <c r="K26" s="154">
        <f>+SUMIF(окт!$E$2:$E$267,СводкаРасходов[[#This Row],[Фирмы]],окт!$L$2:$L$267)</f>
        <v>90348536</v>
      </c>
      <c r="L26" s="154"/>
      <c r="M26" s="154"/>
      <c r="N26" s="5">
        <f>SUM(СводкаРасходов[[#This Row],[Январь]:[Декабрь]])</f>
        <v>110746480</v>
      </c>
      <c r="O26" s="6"/>
      <c r="P26" s="31">
        <f>IFERROR(+СводкаРасходов[[#This Row],[Итог]]/СводкаРасходов[[#Totals],[Итог]],0)</f>
        <v>1.8306464392487124E-2</v>
      </c>
    </row>
    <row r="27" spans="1:16" ht="17.100000000000001" customHeight="1" x14ac:dyDescent="0.4">
      <c r="A27" s="191" t="s">
        <v>131</v>
      </c>
      <c r="B27" s="154">
        <f>+SUMIF(янв!$E$5:$E$322,СводкаРасходов[[#This Row],[Фирмы]],янв!$L$5:$L$322)</f>
        <v>51399084</v>
      </c>
      <c r="C27" s="154">
        <f>+SUMIF(фев!$E$4:$E$231,СводкаРасходов[[#This Row],[Фирмы]],фев!$L$4:$L$231)</f>
        <v>36921155</v>
      </c>
      <c r="D27" s="154">
        <f>+SUMIF(мар!$E$5:$E$74,СводкаРасходов[[#This Row],[Фирмы]],мар!$L$5:$L$74)</f>
        <v>3398439</v>
      </c>
      <c r="E27" s="154">
        <f>+SUMIF(апр!$E$5:$E$24,СводкаРасходов[[#This Row],[Фирмы]],апр!$L$5:$L$24)</f>
        <v>0</v>
      </c>
      <c r="F27" s="154">
        <f>+SUMIF(май!$E$2:$E$32,СводкаРасходов[[#This Row],[Фирмы]],май!$L$2:$L$32)</f>
        <v>0</v>
      </c>
      <c r="G27" s="154">
        <f>+SUMIF(июн!$E$3:$E$17,СводкаРасходов[[#This Row],[Фирмы]],июн!$L$3:$L$17)</f>
        <v>0</v>
      </c>
      <c r="H27" s="154">
        <f>+SUMIF(июл!$E$2:$E$44,СводкаРасходов[[#This Row],[Фирмы]],июл!$L$2:$L$44)</f>
        <v>4989197</v>
      </c>
      <c r="I27" s="154">
        <f>+SUMIF(авг!$E$2:$E$191,СводкаРасходов[[#This Row],[Фирмы]],авг!$L$2:$L$191)</f>
        <v>97230000</v>
      </c>
      <c r="J27" s="154">
        <f>+SUMIF(сен!$E$2:$E$173,СводкаРасходов[[#This Row],[Фирмы]],сен!$L$2:$L$173)</f>
        <v>13926484</v>
      </c>
      <c r="K27" s="154">
        <f>+SUMIF(окт!$E$2:$E$267,СводкаРасходов[[#This Row],[Фирмы]],окт!$L$2:$L$267)</f>
        <v>55978300</v>
      </c>
      <c r="L27" s="154"/>
      <c r="M27" s="154"/>
      <c r="N27" s="5">
        <f>SUM(СводкаРасходов[[#This Row],[Январь]:[Декабрь]])</f>
        <v>263842659</v>
      </c>
      <c r="O27" s="6"/>
      <c r="P27" s="31">
        <f>IFERROR(+СводкаРасходов[[#This Row],[Итог]]/СводкаРасходов[[#Totals],[Итог]],0)</f>
        <v>4.3613361275253379E-2</v>
      </c>
    </row>
    <row r="28" spans="1:16" ht="17.100000000000001" hidden="1" customHeight="1" x14ac:dyDescent="0.4">
      <c r="A28" s="191" t="s">
        <v>435</v>
      </c>
      <c r="B28" s="154">
        <f>+SUMIF(янв!$E$5:$E$322,СводкаРасходов[[#This Row],[Фирмы]],янв!$L$5:$L$322)</f>
        <v>0</v>
      </c>
      <c r="C28" s="154">
        <f>+SUMIF(фев!$E$4:$E$231,СводкаРасходов[[#This Row],[Фирмы]],фев!$L$4:$L$231)</f>
        <v>0</v>
      </c>
      <c r="D28" s="154">
        <f>+SUMIF(мар!$E$5:$E$74,СводкаРасходов[[#This Row],[Фирмы]],мар!$L$5:$L$74)</f>
        <v>0</v>
      </c>
      <c r="E28" s="154">
        <f>+SUMIF(апр!$E$5:$E$24,СводкаРасходов[[#This Row],[Фирмы]],апр!$L$5:$L$24)</f>
        <v>0</v>
      </c>
      <c r="F28" s="154">
        <f>+SUMIF(май!$E$2:$E$32,СводкаРасходов[[#This Row],[Фирмы]],май!$L$2:$L$32)</f>
        <v>0</v>
      </c>
      <c r="G28" s="154">
        <f>+SUMIF(июн!$E$3:$E$17,СводкаРасходов[[#This Row],[Фирмы]],июн!$L$3:$L$17)</f>
        <v>0</v>
      </c>
      <c r="H28" s="154">
        <f>+SUMIF(июл!$E$2:$E$44,СводкаРасходов[[#This Row],[Фирмы]],июл!$L$2:$L$44)</f>
        <v>0</v>
      </c>
      <c r="I28" s="154">
        <f>+SUMIF(авг!$E$2:$E$191,СводкаРасходов[[#This Row],[Фирмы]],авг!$L$2:$L$191)</f>
        <v>0</v>
      </c>
      <c r="J28" s="154">
        <f>+SUMIF(сен!$E$2:$E$173,СводкаРасходов[[#This Row],[Фирмы]],сен!$L$2:$L$173)</f>
        <v>0</v>
      </c>
      <c r="K28" s="154">
        <f>+SUMIF(окт!$E$2:$E$267,СводкаРасходов[[#This Row],[Фирмы]],окт!$L$2:$L$267)</f>
        <v>0</v>
      </c>
      <c r="L28" s="154"/>
      <c r="M28" s="154"/>
      <c r="N28" s="5">
        <f>SUM(СводкаРасходов[[#This Row],[Январь]:[Декабрь]])</f>
        <v>0</v>
      </c>
      <c r="O28" s="6"/>
      <c r="P28" s="31">
        <f>IFERROR(+СводкаРасходов[[#This Row],[Итог]]/СводкаРасходов[[#Totals],[Итог]],0)</f>
        <v>0</v>
      </c>
    </row>
    <row r="29" spans="1:16" ht="17.100000000000001" customHeight="1" x14ac:dyDescent="0.4">
      <c r="A29" s="191" t="s">
        <v>436</v>
      </c>
      <c r="B29" s="154">
        <f>+SUMIF(янв!$E$5:$E$322,СводкаРасходов[[#This Row],[Фирмы]],янв!$L$5:$L$322)</f>
        <v>0</v>
      </c>
      <c r="C29" s="154">
        <f>+SUMIF(фев!$E$4:$E$231,СводкаРасходов[[#This Row],[Фирмы]],фев!$L$4:$L$231)</f>
        <v>0</v>
      </c>
      <c r="D29" s="154">
        <f>+SUMIF(мар!$E$5:$E$74,СводкаРасходов[[#This Row],[Фирмы]],мар!$L$5:$L$74)</f>
        <v>0</v>
      </c>
      <c r="E29" s="154">
        <f>+SUMIF(апр!$E$5:$E$24,СводкаРасходов[[#This Row],[Фирмы]],апр!$L$5:$L$24)</f>
        <v>0</v>
      </c>
      <c r="F29" s="154">
        <f>+SUMIF(май!$E$2:$E$32,СводкаРасходов[[#This Row],[Фирмы]],май!$L$2:$L$32)</f>
        <v>0</v>
      </c>
      <c r="G29" s="154">
        <f>+SUMIF(июн!$E$3:$E$17,СводкаРасходов[[#This Row],[Фирмы]],июн!$L$3:$L$17)</f>
        <v>0</v>
      </c>
      <c r="H29" s="154">
        <f>+SUMIF(июл!$E$2:$E$44,СводкаРасходов[[#This Row],[Фирмы]],июл!$L$2:$L$44)</f>
        <v>119357883</v>
      </c>
      <c r="I29" s="154">
        <f>+SUMIF(авг!$E$2:$E$191,СводкаРасходов[[#This Row],[Фирмы]],авг!$L$2:$L$191)</f>
        <v>0</v>
      </c>
      <c r="J29" s="154">
        <f>+SUMIF(сен!$E$2:$E$173,СводкаРасходов[[#This Row],[Фирмы]],сен!$L$2:$L$173)</f>
        <v>236799613</v>
      </c>
      <c r="K29" s="154">
        <f>+SUMIF(окт!$E$2:$E$267,СводкаРасходов[[#This Row],[Фирмы]],окт!$L$2:$L$267)</f>
        <v>29564798</v>
      </c>
      <c r="L29" s="154"/>
      <c r="M29" s="154"/>
      <c r="N29" s="5">
        <f>SUM(СводкаРасходов[[#This Row],[Январь]:[Декабрь]])</f>
        <v>385722294</v>
      </c>
      <c r="O29" s="6"/>
      <c r="P29" s="31">
        <f>IFERROR(+СводкаРасходов[[#This Row],[Итог]]/СводкаРасходов[[#Totals],[Итог]],0)</f>
        <v>6.3760143351729553E-2</v>
      </c>
    </row>
    <row r="30" spans="1:16" ht="17.100000000000001" customHeight="1" x14ac:dyDescent="0.4">
      <c r="A30" s="191" t="s">
        <v>507</v>
      </c>
      <c r="B30" s="154">
        <f>+SUMIF(янв!$E$5:$E$322,СводкаРасходов[[#This Row],[Фирмы]],янв!$L$5:$L$322)</f>
        <v>0</v>
      </c>
      <c r="C30" s="154">
        <f>+SUMIF(фев!$E$4:$E$231,СводкаРасходов[[#This Row],[Фирмы]],фев!$L$4:$L$231)</f>
        <v>19555624</v>
      </c>
      <c r="D30" s="154">
        <f>+SUMIF(мар!$E$5:$E$74,СводкаРасходов[[#This Row],[Фирмы]],мар!$L$5:$L$74)</f>
        <v>63834450</v>
      </c>
      <c r="E30" s="154">
        <f>+SUMIF(апр!$E$5:$E$24,СводкаРасходов[[#This Row],[Фирмы]],апр!$L$5:$L$24)</f>
        <v>42338</v>
      </c>
      <c r="F30" s="154">
        <f>+SUMIF(май!$E$2:$E$32,СводкаРасходов[[#This Row],[Фирмы]],май!$L$2:$L$32)</f>
        <v>0</v>
      </c>
      <c r="G30" s="154">
        <f>+SUMIF(июн!$E$3:$E$17,СводкаРасходов[[#This Row],[Фирмы]],июн!$L$3:$L$17)</f>
        <v>0</v>
      </c>
      <c r="H30" s="154">
        <f>+SUMIF(июл!$E$2:$E$44,СводкаРасходов[[#This Row],[Фирмы]],июл!$L$2:$L$44)</f>
        <v>0</v>
      </c>
      <c r="I30" s="154">
        <f>+SUMIF(авг!$E$2:$E$191,СводкаРасходов[[#This Row],[Фирмы]],авг!$L$2:$L$191)</f>
        <v>0</v>
      </c>
      <c r="J30" s="154">
        <f>+SUMIF(сен!$E$2:$E$173,СводкаРасходов[[#This Row],[Фирмы]],сен!$L$2:$L$173)</f>
        <v>0</v>
      </c>
      <c r="K30" s="154">
        <f>+SUMIF(окт!$E$2:$E$267,СводкаРасходов[[#This Row],[Фирмы]],окт!$L$2:$L$267)</f>
        <v>0</v>
      </c>
      <c r="L30" s="154"/>
      <c r="M30" s="154"/>
      <c r="N30" s="5">
        <f>SUM(СводкаРасходов[[#This Row],[Январь]:[Декабрь]])</f>
        <v>83432412</v>
      </c>
      <c r="O30" s="6"/>
      <c r="P30" s="31">
        <f>IFERROR(+СводкаРасходов[[#This Row],[Итог]]/СводкаРасходов[[#Totals],[Итог]],0)</f>
        <v>1.3791431379645796E-2</v>
      </c>
    </row>
    <row r="31" spans="1:16" ht="17.100000000000001" customHeight="1" x14ac:dyDescent="0.4">
      <c r="A31" s="191" t="s">
        <v>412</v>
      </c>
      <c r="B31" s="154">
        <f>+SUMIF(янв!$E$5:$E$322,СводкаРасходов[[#This Row],[Фирмы]],янв!$L$5:$L$322)</f>
        <v>10486321</v>
      </c>
      <c r="C31" s="154">
        <f>+SUMIF(фев!$E$4:$E$231,СводкаРасходов[[#This Row],[Фирмы]],фев!$L$4:$L$231)</f>
        <v>32060014</v>
      </c>
      <c r="D31" s="154">
        <f>+SUMIF(мар!$E$5:$E$74,СводкаРасходов[[#This Row],[Фирмы]],мар!$L$5:$L$74)</f>
        <v>3298330</v>
      </c>
      <c r="E31" s="154">
        <f>+SUMIF(апр!$E$5:$E$24,СводкаРасходов[[#This Row],[Фирмы]],апр!$L$5:$L$24)</f>
        <v>0</v>
      </c>
      <c r="F31" s="154">
        <f>+SUMIF(май!$E$2:$E$32,СводкаРасходов[[#This Row],[Фирмы]],май!$L$2:$L$32)</f>
        <v>0</v>
      </c>
      <c r="G31" s="154">
        <f>+SUMIF(июн!$E$3:$E$17,СводкаРасходов[[#This Row],[Фирмы]],июн!$L$3:$L$17)</f>
        <v>0</v>
      </c>
      <c r="H31" s="154">
        <f>+SUMIF(июл!$E$2:$E$44,СводкаРасходов[[#This Row],[Фирмы]],июл!$L$2:$L$44)</f>
        <v>37393693</v>
      </c>
      <c r="I31" s="154">
        <f>+SUMIF(авг!$E$2:$E$191,СводкаРасходов[[#This Row],[Фирмы]],авг!$L$2:$L$191)</f>
        <v>0</v>
      </c>
      <c r="J31" s="154">
        <f>+SUMIF(сен!$E$2:$E$173,СводкаРасходов[[#This Row],[Фирмы]],сен!$L$2:$L$173)</f>
        <v>0</v>
      </c>
      <c r="K31" s="154">
        <f>+SUMIF(окт!$E$2:$E$267,СводкаРасходов[[#This Row],[Фирмы]],окт!$L$2:$L$267)</f>
        <v>14258211</v>
      </c>
      <c r="L31" s="154"/>
      <c r="M31" s="154"/>
      <c r="N31" s="5">
        <f>SUM(СводкаРасходов[[#This Row],[Январь]:[Декабрь]])</f>
        <v>97496569</v>
      </c>
      <c r="O31" s="6"/>
      <c r="P31" s="31">
        <f>IFERROR(+СводкаРасходов[[#This Row],[Итог]]/СводкаРасходов[[#Totals],[Итог]],0)</f>
        <v>1.6116245579888083E-2</v>
      </c>
    </row>
    <row r="32" spans="1:16" ht="17.100000000000001" customHeight="1" x14ac:dyDescent="0.4">
      <c r="A32" s="191" t="s">
        <v>755</v>
      </c>
      <c r="B32" s="154">
        <f>+SUMIF(янв!$E$5:$E$322,СводкаРасходов[[#This Row],[Фирмы]],янв!$L$5:$L$322)</f>
        <v>0</v>
      </c>
      <c r="C32" s="154">
        <f>+SUMIF(фев!$E$4:$E$231,СводкаРасходов[[#This Row],[Фирмы]],фев!$L$4:$L$231)</f>
        <v>0</v>
      </c>
      <c r="D32" s="154">
        <f>+SUMIF(мар!$E$5:$E$74,СводкаРасходов[[#This Row],[Фирмы]],мар!$L$5:$L$74)</f>
        <v>7099185</v>
      </c>
      <c r="E32" s="154">
        <f>+SUMIF(апр!$E$5:$E$24,СводкаРасходов[[#This Row],[Фирмы]],апр!$L$5:$L$24)</f>
        <v>0</v>
      </c>
      <c r="F32" s="154">
        <f>+SUMIF(май!$E$2:$E$32,СводкаРасходов[[#This Row],[Фирмы]],май!$L$2:$L$32)</f>
        <v>0</v>
      </c>
      <c r="G32" s="154">
        <f>+SUMIF(июн!$E$3:$E$17,СводкаРасходов[[#This Row],[Фирмы]],июн!$L$3:$L$17)</f>
        <v>0</v>
      </c>
      <c r="H32" s="154">
        <f>+SUMIF(июл!$E$2:$E$44,СводкаРасходов[[#This Row],[Фирмы]],июл!$L$2:$L$44)</f>
        <v>0</v>
      </c>
      <c r="I32" s="154">
        <f>+SUMIF(авг!$E$2:$E$191,СводкаРасходов[[#This Row],[Фирмы]],авг!$L$2:$L$191)</f>
        <v>0</v>
      </c>
      <c r="J32" s="154">
        <f>+SUMIF(сен!$E$2:$E$173,СводкаРасходов[[#This Row],[Фирмы]],сен!$L$2:$L$173)</f>
        <v>0</v>
      </c>
      <c r="K32" s="154">
        <f>+SUMIF(окт!$E$2:$E$267,СводкаРасходов[[#This Row],[Фирмы]],окт!$L$2:$L$267)</f>
        <v>0</v>
      </c>
      <c r="L32" s="154"/>
      <c r="M32" s="154"/>
      <c r="N32" s="5">
        <f>SUM(СводкаРасходов[[#This Row],[Январь]:[Декабрь]])</f>
        <v>7099185</v>
      </c>
      <c r="O32" s="6"/>
      <c r="P32" s="31">
        <f>IFERROR(+СводкаРасходов[[#This Row],[Итог]]/СводкаРасходов[[#Totals],[Итог]],0)</f>
        <v>1.1734998477439529E-3</v>
      </c>
    </row>
    <row r="33" spans="1:16" ht="17.100000000000001" customHeight="1" x14ac:dyDescent="0.4">
      <c r="A33" s="191" t="s">
        <v>1144</v>
      </c>
      <c r="B33" s="154">
        <f>+SUMIF(янв!$E$5:$E$322,СводкаРасходов[[#This Row],[Фирмы]],янв!$L$5:$L$322)</f>
        <v>0</v>
      </c>
      <c r="C33" s="154">
        <f>+SUMIF(фев!$E$4:$E$231,СводкаРасходов[[#This Row],[Фирмы]],фев!$L$4:$L$231)</f>
        <v>0</v>
      </c>
      <c r="D33" s="154">
        <f>+SUMIF(мар!$E$5:$E$74,СводкаРасходов[[#This Row],[Фирмы]],мар!$L$5:$L$74)</f>
        <v>0</v>
      </c>
      <c r="E33" s="154">
        <f>+SUMIF(апр!$E$5:$E$24,СводкаРасходов[[#This Row],[Фирмы]],апр!$L$5:$L$24)</f>
        <v>0</v>
      </c>
      <c r="F33" s="154">
        <f>+SUMIF(май!$E$2:$E$32,СводкаРасходов[[#This Row],[Фирмы]],май!$L$2:$L$32)</f>
        <v>0</v>
      </c>
      <c r="G33" s="154">
        <f>+SUMIF(июн!$E$3:$E$17,СводкаРасходов[[#This Row],[Фирмы]],июн!$L$3:$L$17)</f>
        <v>0</v>
      </c>
      <c r="H33" s="154">
        <f>+SUMIF(июл!$E$2:$E$44,СводкаРасходов[[#This Row],[Фирмы]],июл!$L$2:$L$44)</f>
        <v>0</v>
      </c>
      <c r="I33" s="154">
        <f>+SUMIF(авг!$E$2:$E$191,СводкаРасходов[[#This Row],[Фирмы]],авг!$L$2:$L$191)</f>
        <v>39242390</v>
      </c>
      <c r="J33" s="154">
        <f>+SUMIF(сен!$E$2:$E$173,СводкаРасходов[[#This Row],[Фирмы]],сен!$L$2:$L$173)</f>
        <v>39008714</v>
      </c>
      <c r="K33" s="154">
        <f>+SUMIF(окт!$E$2:$E$267,СводкаРасходов[[#This Row],[Фирмы]],окт!$L$2:$L$267)</f>
        <v>10197352</v>
      </c>
      <c r="L33" s="154"/>
      <c r="M33" s="154"/>
      <c r="N33" s="5">
        <f>SUM(СводкаРасходов[[#This Row],[Январь]:[Декабрь]])</f>
        <v>88448456</v>
      </c>
      <c r="O33" s="6"/>
      <c r="P33" s="31">
        <f>IFERROR(+СводкаРасходов[[#This Row],[Итог]]/СводкаРасходов[[#Totals],[Итог]],0)</f>
        <v>1.4620586679905892E-2</v>
      </c>
    </row>
    <row r="34" spans="1:16" ht="17.100000000000001" customHeight="1" x14ac:dyDescent="0.4">
      <c r="A34" s="191" t="s">
        <v>148</v>
      </c>
      <c r="B34" s="154">
        <f>+SUMIF(янв!$E$5:$E$322,СводкаРасходов[[#This Row],[Фирмы]],янв!$L$5:$L$322)</f>
        <v>8975604</v>
      </c>
      <c r="C34" s="154">
        <f>+SUMIF(фев!$E$4:$E$231,СводкаРасходов[[#This Row],[Фирмы]],фев!$L$4:$L$231)</f>
        <v>0</v>
      </c>
      <c r="D34" s="154">
        <f>+SUMIF(мар!$E$5:$E$74,СводкаРасходов[[#This Row],[Фирмы]],мар!$L$5:$L$74)</f>
        <v>0</v>
      </c>
      <c r="E34" s="154">
        <f>+SUMIF(апр!$E$5:$E$24,СводкаРасходов[[#This Row],[Фирмы]],апр!$L$5:$L$24)</f>
        <v>0</v>
      </c>
      <c r="F34" s="154">
        <f>+SUMIF(май!$E$2:$E$32,СводкаРасходов[[#This Row],[Фирмы]],май!$L$2:$L$32)</f>
        <v>0</v>
      </c>
      <c r="G34" s="154">
        <f>+SUMIF(июн!$E$3:$E$17,СводкаРасходов[[#This Row],[Фирмы]],июн!$L$3:$L$17)</f>
        <v>0</v>
      </c>
      <c r="H34" s="154">
        <f>+SUMIF(июл!$E$2:$E$44,СводкаРасходов[[#This Row],[Фирмы]],июл!$L$2:$L$44)</f>
        <v>0</v>
      </c>
      <c r="I34" s="154">
        <f>+SUMIF(авг!$E$2:$E$191,СводкаРасходов[[#This Row],[Фирмы]],авг!$L$2:$L$191)</f>
        <v>0</v>
      </c>
      <c r="J34" s="154">
        <f>+SUMIF(сен!$E$2:$E$173,СводкаРасходов[[#This Row],[Фирмы]],сен!$L$2:$L$173)</f>
        <v>0</v>
      </c>
      <c r="K34" s="154">
        <f>+SUMIF(окт!$E$2:$E$267,СводкаРасходов[[#This Row],[Фирмы]],окт!$L$2:$L$267)</f>
        <v>0</v>
      </c>
      <c r="L34" s="154"/>
      <c r="M34" s="154"/>
      <c r="N34" s="5">
        <f>SUM(СводкаРасходов[[#This Row],[Январь]:[Декабрь]])</f>
        <v>8975604</v>
      </c>
      <c r="O34" s="6"/>
      <c r="P34" s="31">
        <f>IFERROR(+СводкаРасходов[[#This Row],[Итог]]/СводкаРасходов[[#Totals],[Итог]],0)</f>
        <v>1.483673115633698E-3</v>
      </c>
    </row>
    <row r="35" spans="1:16" ht="17.100000000000001" customHeight="1" x14ac:dyDescent="0.4">
      <c r="A35" s="191" t="s">
        <v>208</v>
      </c>
      <c r="B35" s="154">
        <f>+SUMIF(янв!$E$5:$E$322,СводкаРасходов[[#This Row],[Фирмы]],янв!$L$5:$L$322)</f>
        <v>10930359</v>
      </c>
      <c r="C35" s="154">
        <f>+SUMIF(фев!$E$4:$E$231,СводкаРасходов[[#This Row],[Фирмы]],фев!$L$4:$L$231)</f>
        <v>0</v>
      </c>
      <c r="D35" s="154">
        <f>+SUMIF(мар!$E$5:$E$74,СводкаРасходов[[#This Row],[Фирмы]],мар!$L$5:$L$74)</f>
        <v>0</v>
      </c>
      <c r="E35" s="154">
        <f>+SUMIF(апр!$E$5:$E$24,СводкаРасходов[[#This Row],[Фирмы]],апр!$L$5:$L$24)</f>
        <v>0</v>
      </c>
      <c r="F35" s="154">
        <f>+SUMIF(май!$E$2:$E$32,СводкаРасходов[[#This Row],[Фирмы]],май!$L$2:$L$32)</f>
        <v>0</v>
      </c>
      <c r="G35" s="154">
        <f>+SUMIF(июн!$E$3:$E$17,СводкаРасходов[[#This Row],[Фирмы]],июн!$L$3:$L$17)</f>
        <v>0</v>
      </c>
      <c r="H35" s="154">
        <f>+SUMIF(июл!$E$2:$E$44,СводкаРасходов[[#This Row],[Фирмы]],июл!$L$2:$L$44)</f>
        <v>0</v>
      </c>
      <c r="I35" s="154">
        <f>+SUMIF(авг!$E$2:$E$191,СводкаРасходов[[#This Row],[Фирмы]],авг!$L$2:$L$191)</f>
        <v>0</v>
      </c>
      <c r="J35" s="154">
        <f>+SUMIF(сен!$E$2:$E$173,СводкаРасходов[[#This Row],[Фирмы]],сен!$L$2:$L$173)</f>
        <v>0</v>
      </c>
      <c r="K35" s="154">
        <f>+SUMIF(окт!$E$2:$E$267,СводкаРасходов[[#This Row],[Фирмы]],окт!$L$2:$L$267)</f>
        <v>0</v>
      </c>
      <c r="L35" s="154"/>
      <c r="M35" s="154"/>
      <c r="N35" s="5">
        <f>SUM(СводкаРасходов[[#This Row],[Январь]:[Декабрь]])</f>
        <v>10930359</v>
      </c>
      <c r="O35" s="6"/>
      <c r="P35" s="31">
        <f>IFERROR(+СводкаРасходов[[#This Row],[Итог]]/СводкаРасходов[[#Totals],[Итог]],0)</f>
        <v>1.8067953747207242E-3</v>
      </c>
    </row>
    <row r="36" spans="1:16" ht="17.100000000000001" customHeight="1" x14ac:dyDescent="0.4">
      <c r="A36" s="191" t="s">
        <v>105</v>
      </c>
      <c r="B36" s="154">
        <f>+SUMIF(янв!$E$5:$E$322,СводкаРасходов[[#This Row],[Фирмы]],янв!$L$5:$L$322)</f>
        <v>60393523</v>
      </c>
      <c r="C36" s="154">
        <f>+SUMIF(фев!$E$4:$E$231,СводкаРасходов[[#This Row],[Фирмы]],фев!$L$4:$L$231)</f>
        <v>9092476</v>
      </c>
      <c r="D36" s="154">
        <f>+SUMIF(мар!$E$5:$E$74,СводкаРасходов[[#This Row],[Фирмы]],мар!$L$5:$L$74)</f>
        <v>0</v>
      </c>
      <c r="E36" s="154">
        <f>+SUMIF(апр!$E$5:$E$24,СводкаРасходов[[#This Row],[Фирмы]],апр!$L$5:$L$24)</f>
        <v>0</v>
      </c>
      <c r="F36" s="154">
        <f>+SUMIF(май!$E$2:$E$32,СводкаРасходов[[#This Row],[Фирмы]],май!$L$2:$L$32)</f>
        <v>17528320</v>
      </c>
      <c r="G36" s="154">
        <f>+SUMIF(июн!$E$3:$E$17,СводкаРасходов[[#This Row],[Фирмы]],июн!$L$3:$L$17)</f>
        <v>0</v>
      </c>
      <c r="H36" s="154">
        <f>+SUMIF(июл!$E$2:$E$44,СводкаРасходов[[#This Row],[Фирмы]],июл!$L$2:$L$44)</f>
        <v>0</v>
      </c>
      <c r="I36" s="154">
        <f>+SUMIF(авг!$E$2:$E$191,СводкаРасходов[[#This Row],[Фирмы]],авг!$L$2:$L$191)</f>
        <v>41060000</v>
      </c>
      <c r="J36" s="154">
        <f>+SUMIF(сен!$E$2:$E$173,СводкаРасходов[[#This Row],[Фирмы]],сен!$L$2:$L$173)</f>
        <v>0</v>
      </c>
      <c r="K36" s="154">
        <f>+SUMIF(окт!$E$2:$E$267,СводкаРасходов[[#This Row],[Фирмы]],окт!$L$2:$L$267)</f>
        <v>0</v>
      </c>
      <c r="L36" s="154"/>
      <c r="M36" s="154"/>
      <c r="N36" s="5">
        <f>SUM(СводкаРасходов[[#This Row],[Январь]:[Декабрь]])</f>
        <v>128074319</v>
      </c>
      <c r="O36" s="6"/>
      <c r="P36" s="31">
        <f>IFERROR(+СводкаРасходов[[#This Row],[Итог]]/СводкаРасходов[[#Totals],[Итог]],0)</f>
        <v>2.1170767327011543E-2</v>
      </c>
    </row>
    <row r="37" spans="1:16" ht="17.100000000000001" hidden="1" customHeight="1" x14ac:dyDescent="0.4">
      <c r="A37" s="191" t="s">
        <v>109</v>
      </c>
      <c r="B37" s="154">
        <f>+SUMIF(янв!$E$5:$E$322,СводкаРасходов[[#This Row],[Фирмы]],янв!$L$5:$L$322)</f>
        <v>0</v>
      </c>
      <c r="C37" s="154">
        <f>+SUMIF(фев!$E$4:$E$231,СводкаРасходов[[#This Row],[Фирмы]],фев!$L$4:$L$231)</f>
        <v>0</v>
      </c>
      <c r="D37" s="154">
        <f>+SUMIF(мар!$E$5:$E$74,СводкаРасходов[[#This Row],[Фирмы]],мар!$L$5:$L$74)</f>
        <v>0</v>
      </c>
      <c r="E37" s="154">
        <f>+SUMIF(апр!$E$5:$E$24,СводкаРасходов[[#This Row],[Фирмы]],апр!$L$5:$L$24)</f>
        <v>0</v>
      </c>
      <c r="F37" s="154">
        <f>+SUMIF(май!$E$2:$E$32,СводкаРасходов[[#This Row],[Фирмы]],май!$L$2:$L$32)</f>
        <v>0</v>
      </c>
      <c r="G37" s="154">
        <f>+SUMIF(июн!$E$3:$E$17,СводкаРасходов[[#This Row],[Фирмы]],июн!$L$3:$L$17)</f>
        <v>0</v>
      </c>
      <c r="H37" s="154">
        <f>+SUMIF(июл!$E$2:$E$44,СводкаРасходов[[#This Row],[Фирмы]],июл!$L$2:$L$44)</f>
        <v>0</v>
      </c>
      <c r="I37" s="154">
        <f>+SUMIF(авг!$E$2:$E$191,СводкаРасходов[[#This Row],[Фирмы]],авг!$L$2:$L$191)</f>
        <v>0</v>
      </c>
      <c r="J37" s="154">
        <f>+SUMIF(сен!$E$2:$E$173,СводкаРасходов[[#This Row],[Фирмы]],сен!$L$2:$L$173)</f>
        <v>0</v>
      </c>
      <c r="K37" s="154">
        <f>+SUMIF(окт!$E$2:$E$267,СводкаРасходов[[#This Row],[Фирмы]],окт!$L$2:$L$267)</f>
        <v>0</v>
      </c>
      <c r="L37" s="154"/>
      <c r="M37" s="154"/>
      <c r="N37" s="5">
        <f>SUM(СводкаРасходов[[#This Row],[Январь]:[Декабрь]])</f>
        <v>0</v>
      </c>
      <c r="O37" s="6"/>
      <c r="P37" s="31">
        <f>IFERROR(+СводкаРасходов[[#This Row],[Итог]]/СводкаРасходов[[#Totals],[Итог]],0)</f>
        <v>0</v>
      </c>
    </row>
    <row r="38" spans="1:16" ht="17.100000000000001" customHeight="1" x14ac:dyDescent="0.4">
      <c r="A38" s="191" t="s">
        <v>300</v>
      </c>
      <c r="B38" s="154">
        <f>+SUMIF(янв!$E$5:$E$322,СводкаРасходов[[#This Row],[Фирмы]],янв!$L$5:$L$322)</f>
        <v>3747380</v>
      </c>
      <c r="C38" s="154">
        <f>+SUMIF(фев!$E$4:$E$231,СводкаРасходов[[#This Row],[Фирмы]],фев!$L$4:$L$231)</f>
        <v>23655998</v>
      </c>
      <c r="D38" s="154">
        <f>+SUMIF(мар!$E$5:$E$74,СводкаРасходов[[#This Row],[Фирмы]],мар!$L$5:$L$74)</f>
        <v>0</v>
      </c>
      <c r="E38" s="154">
        <f>+SUMIF(апр!$E$5:$E$24,СводкаРасходов[[#This Row],[Фирмы]],апр!$L$5:$L$24)</f>
        <v>0</v>
      </c>
      <c r="F38" s="154">
        <f>+SUMIF(май!$E$2:$E$32,СводкаРасходов[[#This Row],[Фирмы]],май!$L$2:$L$32)</f>
        <v>0</v>
      </c>
      <c r="G38" s="154">
        <f>+SUMIF(июн!$E$3:$E$17,СводкаРасходов[[#This Row],[Фирмы]],июн!$L$3:$L$17)</f>
        <v>0</v>
      </c>
      <c r="H38" s="154">
        <f>+SUMIF(июл!$E$2:$E$44,СводкаРасходов[[#This Row],[Фирмы]],июл!$L$2:$L$44)</f>
        <v>0</v>
      </c>
      <c r="I38" s="154">
        <f>+SUMIF(авг!$E$2:$E$191,СводкаРасходов[[#This Row],[Фирмы]],авг!$L$2:$L$191)</f>
        <v>0</v>
      </c>
      <c r="J38" s="154">
        <f>+SUMIF(сен!$E$2:$E$173,СводкаРасходов[[#This Row],[Фирмы]],сен!$L$2:$L$173)</f>
        <v>0</v>
      </c>
      <c r="K38" s="154">
        <f>+SUMIF(окт!$E$2:$E$267,СводкаРасходов[[#This Row],[Фирмы]],окт!$L$2:$L$267)</f>
        <v>0</v>
      </c>
      <c r="L38" s="154"/>
      <c r="M38" s="154"/>
      <c r="N38" s="5">
        <f>SUM(СводкаРасходов[[#This Row],[Январь]:[Декабрь]])</f>
        <v>27403378</v>
      </c>
      <c r="O38" s="6"/>
      <c r="P38" s="31">
        <f>IFERROR(+СводкаРасходов[[#This Row],[Итог]]/СводкаРасходов[[#Totals],[Итог]],0)</f>
        <v>4.5297960132987076E-3</v>
      </c>
    </row>
    <row r="39" spans="1:16" ht="17.100000000000001" hidden="1" customHeight="1" x14ac:dyDescent="0.4">
      <c r="A39" s="191" t="s">
        <v>437</v>
      </c>
      <c r="B39" s="154">
        <f>+SUMIF(янв!$E$5:$E$322,СводкаРасходов[[#This Row],[Фирмы]],янв!$L$5:$L$322)</f>
        <v>0</v>
      </c>
      <c r="C39" s="154">
        <f>+SUMIF(фев!$E$4:$E$231,СводкаРасходов[[#This Row],[Фирмы]],фев!$L$4:$L$231)</f>
        <v>0</v>
      </c>
      <c r="D39" s="154">
        <f>+SUMIF(мар!$E$5:$E$74,СводкаРасходов[[#This Row],[Фирмы]],мар!$L$5:$L$74)</f>
        <v>0</v>
      </c>
      <c r="E39" s="154">
        <f>+SUMIF(апр!$E$5:$E$24,СводкаРасходов[[#This Row],[Фирмы]],апр!$L$5:$L$24)</f>
        <v>0</v>
      </c>
      <c r="F39" s="154">
        <f>+SUMIF(май!$E$2:$E$32,СводкаРасходов[[#This Row],[Фирмы]],май!$L$2:$L$32)</f>
        <v>0</v>
      </c>
      <c r="G39" s="154">
        <f>+SUMIF(июн!$E$3:$E$17,СводкаРасходов[[#This Row],[Фирмы]],июн!$L$3:$L$17)</f>
        <v>0</v>
      </c>
      <c r="H39" s="154">
        <f>+SUMIF(июл!$E$2:$E$44,СводкаРасходов[[#This Row],[Фирмы]],июл!$L$2:$L$44)</f>
        <v>0</v>
      </c>
      <c r="I39" s="154">
        <f>+SUMIF(авг!$E$2:$E$191,СводкаРасходов[[#This Row],[Фирмы]],авг!$L$2:$L$191)</f>
        <v>0</v>
      </c>
      <c r="J39" s="154">
        <f>+SUMIF(сен!$E$2:$E$173,СводкаРасходов[[#This Row],[Фирмы]],сен!$L$2:$L$173)</f>
        <v>0</v>
      </c>
      <c r="K39" s="154">
        <f>+SUMIF(окт!$E$2:$E$267,СводкаРасходов[[#This Row],[Фирмы]],окт!$L$2:$L$267)</f>
        <v>0</v>
      </c>
      <c r="L39" s="154"/>
      <c r="M39" s="154"/>
      <c r="N39" s="5">
        <f>SUM(СводкаРасходов[[#This Row],[Январь]:[Декабрь]])</f>
        <v>0</v>
      </c>
      <c r="O39" s="6"/>
      <c r="P39" s="31">
        <f>IFERROR(+СводкаРасходов[[#This Row],[Итог]]/СводкаРасходов[[#Totals],[Итог]],0)</f>
        <v>0</v>
      </c>
    </row>
    <row r="40" spans="1:16" ht="17.100000000000001" customHeight="1" x14ac:dyDescent="0.4">
      <c r="A40" s="191" t="s">
        <v>438</v>
      </c>
      <c r="B40" s="154">
        <f>+SUMIF(янв!$E$5:$E$322,СводкаРасходов[[#This Row],[Фирмы]],янв!$L$5:$L$322)</f>
        <v>0</v>
      </c>
      <c r="C40" s="154">
        <f>+SUMIF(фев!$E$4:$E$231,СводкаРасходов[[#This Row],[Фирмы]],фев!$L$4:$L$231)</f>
        <v>0</v>
      </c>
      <c r="D40" s="154">
        <f>+SUMIF(мар!$E$5:$E$74,СводкаРасходов[[#This Row],[Фирмы]],мар!$L$5:$L$74)</f>
        <v>8286232</v>
      </c>
      <c r="E40" s="154">
        <f>+SUMIF(апр!$E$5:$E$24,СводкаРасходов[[#This Row],[Фирмы]],апр!$L$5:$L$24)</f>
        <v>0</v>
      </c>
      <c r="F40" s="154">
        <f>+SUMIF(май!$E$2:$E$32,СводкаРасходов[[#This Row],[Фирмы]],май!$L$2:$L$32)</f>
        <v>0</v>
      </c>
      <c r="G40" s="154">
        <f>+SUMIF(июн!$E$3:$E$17,СводкаРасходов[[#This Row],[Фирмы]],июн!$L$3:$L$17)</f>
        <v>0</v>
      </c>
      <c r="H40" s="154">
        <f>+SUMIF(июл!$E$2:$E$44,СводкаРасходов[[#This Row],[Фирмы]],июл!$L$2:$L$44)</f>
        <v>0</v>
      </c>
      <c r="I40" s="154">
        <f>+SUMIF(авг!$E$2:$E$191,СводкаРасходов[[#This Row],[Фирмы]],авг!$L$2:$L$191)</f>
        <v>0</v>
      </c>
      <c r="J40" s="154">
        <f>+SUMIF(сен!$E$2:$E$173,СводкаРасходов[[#This Row],[Фирмы]],сен!$L$2:$L$173)</f>
        <v>3692403</v>
      </c>
      <c r="K40" s="154">
        <f>+SUMIF(окт!$E$2:$E$267,СводкаРасходов[[#This Row],[Фирмы]],окт!$L$2:$L$267)</f>
        <v>16562469</v>
      </c>
      <c r="L40" s="154"/>
      <c r="M40" s="154"/>
      <c r="N40" s="5">
        <f>SUM(СводкаРасходов[[#This Row],[Январь]:[Декабрь]])</f>
        <v>28541104</v>
      </c>
      <c r="O40" s="6"/>
      <c r="P40" s="31">
        <f>IFERROR(+СводкаРасходов[[#This Row],[Итог]]/СводкаРасходов[[#Totals],[Итог]],0)</f>
        <v>4.7178628530520506E-3</v>
      </c>
    </row>
    <row r="41" spans="1:16" ht="17.100000000000001" customHeight="1" x14ac:dyDescent="0.4">
      <c r="A41" s="191" t="s">
        <v>1020</v>
      </c>
      <c r="B41" s="154">
        <f>+SUMIF(янв!$E$5:$E$322,СводкаРасходов[[#This Row],[Фирмы]],янв!$L$5:$L$322)</f>
        <v>0</v>
      </c>
      <c r="C41" s="154">
        <f>+SUMIF(фев!$E$4:$E$231,СводкаРасходов[[#This Row],[Фирмы]],фев!$L$4:$L$231)</f>
        <v>0</v>
      </c>
      <c r="D41" s="154">
        <f>+SUMIF(мар!$E$5:$E$74,СводкаРасходов[[#This Row],[Фирмы]],мар!$L$5:$L$74)</f>
        <v>0</v>
      </c>
      <c r="E41" s="154">
        <f>+SUMIF(апр!$E$5:$E$24,СводкаРасходов[[#This Row],[Фирмы]],апр!$L$5:$L$24)</f>
        <v>0</v>
      </c>
      <c r="F41" s="154">
        <f>+SUMIF(май!$E$2:$E$32,СводкаРасходов[[#This Row],[Фирмы]],май!$L$2:$L$32)</f>
        <v>0</v>
      </c>
      <c r="G41" s="154">
        <f>+SUMIF(июн!$E$3:$E$17,СводкаРасходов[[#This Row],[Фирмы]],июн!$L$3:$L$17)</f>
        <v>0</v>
      </c>
      <c r="H41" s="154">
        <f>+SUMIF(июл!$E$2:$E$44,СводкаРасходов[[#This Row],[Фирмы]],июл!$L$2:$L$44)</f>
        <v>0</v>
      </c>
      <c r="I41" s="154">
        <f>+SUMIF(авг!$E$2:$E$191,СводкаРасходов[[#This Row],[Фирмы]],авг!$L$2:$L$191)</f>
        <v>434510000</v>
      </c>
      <c r="J41" s="154">
        <f>+SUMIF(сен!$E$2:$E$173,СводкаРасходов[[#This Row],[Фирмы]],сен!$L$2:$L$173)</f>
        <v>333714857</v>
      </c>
      <c r="K41" s="154">
        <f>+SUMIF(окт!$E$2:$E$267,СводкаРасходов[[#This Row],[Фирмы]],окт!$L$2:$L$267)</f>
        <v>178902199</v>
      </c>
      <c r="L41" s="154"/>
      <c r="M41" s="154"/>
      <c r="N41" s="5">
        <f>SUM(СводкаРасходов[[#This Row],[Январь]:[Декабрь]])</f>
        <v>947127056</v>
      </c>
      <c r="O41" s="6"/>
      <c r="P41" s="31">
        <f>IFERROR(+СводкаРасходов[[#This Row],[Итог]]/СводкаРасходов[[#Totals],[Итог]],0)</f>
        <v>0.15656071168876121</v>
      </c>
    </row>
    <row r="42" spans="1:16" ht="17.100000000000001" hidden="1" customHeight="1" x14ac:dyDescent="0.4">
      <c r="A42" s="191" t="s">
        <v>312</v>
      </c>
      <c r="B42" s="154">
        <f>+SUMIF(янв!$E$5:$E$322,СводкаРасходов[[#This Row],[Фирмы]],янв!$L$5:$L$322)</f>
        <v>0</v>
      </c>
      <c r="C42" s="154">
        <f>+SUMIF(фев!$E$4:$E$231,СводкаРасходов[[#This Row],[Фирмы]],фев!$L$4:$L$231)</f>
        <v>0</v>
      </c>
      <c r="D42" s="154">
        <f>+SUMIF(мар!$E$5:$E$74,СводкаРасходов[[#This Row],[Фирмы]],мар!$L$5:$L$74)</f>
        <v>0</v>
      </c>
      <c r="E42" s="154">
        <f>+SUMIF(апр!$E$5:$E$24,СводкаРасходов[[#This Row],[Фирмы]],апр!$L$5:$L$24)</f>
        <v>0</v>
      </c>
      <c r="F42" s="154">
        <f>+SUMIF(май!$E$2:$E$32,СводкаРасходов[[#This Row],[Фирмы]],май!$L$2:$L$32)</f>
        <v>0</v>
      </c>
      <c r="G42" s="154">
        <f>+SUMIF(июн!$E$3:$E$17,СводкаРасходов[[#This Row],[Фирмы]],июн!$L$3:$L$17)</f>
        <v>0</v>
      </c>
      <c r="H42" s="154">
        <f>+SUMIF(июл!$E$2:$E$44,СводкаРасходов[[#This Row],[Фирмы]],июл!$L$2:$L$44)</f>
        <v>0</v>
      </c>
      <c r="I42" s="154">
        <f>+SUMIF(авг!$E$2:$E$191,СводкаРасходов[[#This Row],[Фирмы]],авг!$L$2:$L$191)</f>
        <v>0</v>
      </c>
      <c r="J42" s="154">
        <f>+SUMIF(сен!$E$2:$E$173,СводкаРасходов[[#This Row],[Фирмы]],сен!$L$2:$L$173)</f>
        <v>0</v>
      </c>
      <c r="K42" s="154">
        <f>+SUMIF(окт!$E$2:$E$267,СводкаРасходов[[#This Row],[Фирмы]],окт!$L$2:$L$267)</f>
        <v>0</v>
      </c>
      <c r="L42" s="154"/>
      <c r="M42" s="154"/>
      <c r="N42" s="5">
        <f>SUM(СводкаРасходов[[#This Row],[Январь]:[Декабрь]])</f>
        <v>0</v>
      </c>
      <c r="O42" s="6"/>
      <c r="P42" s="31">
        <f>IFERROR(+СводкаРасходов[[#This Row],[Итог]]/СводкаРасходов[[#Totals],[Итог]],0)</f>
        <v>0</v>
      </c>
    </row>
    <row r="43" spans="1:16" ht="17.100000000000001" customHeight="1" x14ac:dyDescent="0.4">
      <c r="A43" s="191" t="s">
        <v>340</v>
      </c>
      <c r="B43" s="154">
        <f>+SUMIF(янв!$E$5:$E$322,СводкаРасходов[[#This Row],[Фирмы]],янв!$L$5:$L$322)</f>
        <v>92113144</v>
      </c>
      <c r="C43" s="154">
        <f>+SUMIF(фев!$E$4:$E$231,СводкаРасходов[[#This Row],[Фирмы]],фев!$L$4:$L$231)</f>
        <v>67947318</v>
      </c>
      <c r="D43" s="154">
        <f>+SUMIF(мар!$E$5:$E$74,СводкаРасходов[[#This Row],[Фирмы]],мар!$L$5:$L$74)</f>
        <v>6610575</v>
      </c>
      <c r="E43" s="154">
        <f>+SUMIF(апр!$E$5:$E$24,СводкаРасходов[[#This Row],[Фирмы]],апр!$L$5:$L$24)</f>
        <v>0</v>
      </c>
      <c r="F43" s="154">
        <f>+SUMIF(май!$E$2:$E$32,СводкаРасходов[[#This Row],[Фирмы]],май!$L$2:$L$32)</f>
        <v>0</v>
      </c>
      <c r="G43" s="154">
        <f>+SUMIF(июн!$E$3:$E$17,СводкаРасходов[[#This Row],[Фирмы]],июн!$L$3:$L$17)</f>
        <v>0</v>
      </c>
      <c r="H43" s="154">
        <f>+SUMIF(июл!$E$2:$E$44,СводкаРасходов[[#This Row],[Фирмы]],июл!$L$2:$L$44)</f>
        <v>0</v>
      </c>
      <c r="I43" s="154">
        <f>+SUMIF(авг!$E$2:$E$191,СводкаРасходов[[#This Row],[Фирмы]],авг!$L$2:$L$191)</f>
        <v>0</v>
      </c>
      <c r="J43" s="154">
        <f>+SUMIF(сен!$E$2:$E$173,СводкаРасходов[[#This Row],[Фирмы]],сен!$L$2:$L$173)</f>
        <v>0</v>
      </c>
      <c r="K43" s="154">
        <f>+SUMIF(окт!$E$2:$E$267,СводкаРасходов[[#This Row],[Фирмы]],окт!$L$2:$L$267)</f>
        <v>0</v>
      </c>
      <c r="L43" s="154"/>
      <c r="M43" s="154"/>
      <c r="N43" s="5">
        <f>SUM(СводкаРасходов[[#This Row],[Январь]:[Декабрь]])</f>
        <v>166671037</v>
      </c>
      <c r="O43" s="6"/>
      <c r="P43" s="31">
        <f>IFERROR(+СводкаРасходов[[#This Row],[Итог]]/СводкаРасходов[[#Totals],[Итог]],0)</f>
        <v>2.7550829643519181E-2</v>
      </c>
    </row>
    <row r="44" spans="1:16" ht="17.100000000000001" hidden="1" customHeight="1" x14ac:dyDescent="0.4">
      <c r="A44" s="191" t="s">
        <v>439</v>
      </c>
      <c r="B44" s="154">
        <f>+SUMIF(янв!$E$5:$E$322,СводкаРасходов[[#This Row],[Фирмы]],янв!$L$5:$L$322)</f>
        <v>0</v>
      </c>
      <c r="C44" s="154">
        <f>+SUMIF(фев!$E$4:$E$231,СводкаРасходов[[#This Row],[Фирмы]],фев!$L$4:$L$231)</f>
        <v>0</v>
      </c>
      <c r="D44" s="154">
        <f>+SUMIF(мар!$E$5:$E$74,СводкаРасходов[[#This Row],[Фирмы]],мар!$L$5:$L$74)</f>
        <v>0</v>
      </c>
      <c r="E44" s="154">
        <f>+SUMIF(апр!$E$5:$E$24,СводкаРасходов[[#This Row],[Фирмы]],апр!$L$5:$L$24)</f>
        <v>0</v>
      </c>
      <c r="F44" s="154">
        <f>+SUMIF(май!$E$2:$E$32,СводкаРасходов[[#This Row],[Фирмы]],май!$L$2:$L$32)</f>
        <v>0</v>
      </c>
      <c r="G44" s="154">
        <f>+SUMIF(июн!$E$3:$E$17,СводкаРасходов[[#This Row],[Фирмы]],июн!$L$3:$L$17)</f>
        <v>0</v>
      </c>
      <c r="H44" s="154">
        <f>+SUMIF(июл!$E$2:$E$44,СводкаРасходов[[#This Row],[Фирмы]],июл!$L$2:$L$44)</f>
        <v>0</v>
      </c>
      <c r="I44" s="154">
        <f>+SUMIF(авг!$E$2:$E$191,СводкаРасходов[[#This Row],[Фирмы]],авг!$L$2:$L$191)</f>
        <v>0</v>
      </c>
      <c r="J44" s="154">
        <f>+SUMIF(сен!$E$2:$E$173,СводкаРасходов[[#This Row],[Фирмы]],сен!$L$2:$L$173)</f>
        <v>0</v>
      </c>
      <c r="K44" s="154">
        <f>+SUMIF(окт!$E$2:$E$267,СводкаРасходов[[#This Row],[Фирмы]],окт!$L$2:$L$267)</f>
        <v>0</v>
      </c>
      <c r="L44" s="154"/>
      <c r="M44" s="154"/>
      <c r="N44" s="5">
        <f>SUM(СводкаРасходов[[#This Row],[Январь]:[Декабрь]])</f>
        <v>0</v>
      </c>
      <c r="O44" s="6"/>
      <c r="P44" s="31">
        <f>IFERROR(+СводкаРасходов[[#This Row],[Итог]]/СводкаРасходов[[#Totals],[Итог]],0)</f>
        <v>0</v>
      </c>
    </row>
    <row r="45" spans="1:16" ht="17.100000000000001" customHeight="1" x14ac:dyDescent="0.4">
      <c r="A45" s="191" t="s">
        <v>1495</v>
      </c>
      <c r="B45" s="154">
        <f>+SUMIF(янв!$E$5:$E$322,СводкаРасходов[[#This Row],[Фирмы]],янв!$L$5:$L$322)</f>
        <v>0</v>
      </c>
      <c r="C45" s="154">
        <f>+SUMIF(фев!$E$4:$E$231,СводкаРасходов[[#This Row],[Фирмы]],фев!$L$4:$L$231)</f>
        <v>0</v>
      </c>
      <c r="D45" s="154">
        <f>+SUMIF(мар!$E$5:$E$74,СводкаРасходов[[#This Row],[Фирмы]],мар!$L$5:$L$74)</f>
        <v>0</v>
      </c>
      <c r="E45" s="154">
        <f>+SUMIF(апр!$E$5:$E$24,СводкаРасходов[[#This Row],[Фирмы]],апр!$L$5:$L$24)</f>
        <v>0</v>
      </c>
      <c r="F45" s="154">
        <f>+SUMIF(май!$E$2:$E$32,СводкаРасходов[[#This Row],[Фирмы]],май!$L$2:$L$32)</f>
        <v>0</v>
      </c>
      <c r="G45" s="154">
        <f>+SUMIF(июн!$E$3:$E$17,СводкаРасходов[[#This Row],[Фирмы]],июн!$L$3:$L$17)</f>
        <v>0</v>
      </c>
      <c r="H45" s="154">
        <f>+SUMIF(июл!$E$2:$E$44,СводкаРасходов[[#This Row],[Фирмы]],июл!$L$2:$L$44)</f>
        <v>0</v>
      </c>
      <c r="I45" s="154">
        <f>+SUMIF(авг!$E$2:$E$191,СводкаРасходов[[#This Row],[Фирмы]],авг!$L$2:$L$191)</f>
        <v>0</v>
      </c>
      <c r="J45" s="154">
        <f>+SUMIF(сен!$E$2:$E$173,СводкаРасходов[[#This Row],[Фирмы]],сен!$L$2:$L$173)</f>
        <v>0</v>
      </c>
      <c r="K45" s="154">
        <f>+SUMIF(окт!$E$2:$E$267,СводкаРасходов[[#This Row],[Фирмы]],окт!$L$2:$L$267)</f>
        <v>57846214</v>
      </c>
      <c r="L45" s="154"/>
      <c r="M45" s="154"/>
      <c r="N45" s="5">
        <f>SUM(СводкаРасходов[[#This Row],[Январь]:[Декабрь]])</f>
        <v>57846214</v>
      </c>
      <c r="O45" s="6"/>
      <c r="P45" s="31">
        <f>IFERROR(+СводкаРасходов[[#This Row],[Итог]]/СводкаРасходов[[#Totals],[Итог]],0)</f>
        <v>9.5620163894255625E-3</v>
      </c>
    </row>
    <row r="46" spans="1:16" ht="17.100000000000001" customHeight="1" x14ac:dyDescent="0.4">
      <c r="A46" s="191" t="s">
        <v>358</v>
      </c>
      <c r="B46" s="154">
        <f>+SUMIF(янв!$E$5:$E$322,СводкаРасходов[[#This Row],[Фирмы]],янв!$L$5:$L$322)</f>
        <v>28371966</v>
      </c>
      <c r="C46" s="154">
        <f>+SUMIF(фев!$E$4:$E$231,СводкаРасходов[[#This Row],[Фирмы]],фев!$L$4:$L$231)</f>
        <v>36132933</v>
      </c>
      <c r="D46" s="154">
        <f>+SUMIF(мар!$E$5:$E$74,СводкаРасходов[[#This Row],[Фирмы]],мар!$L$5:$L$74)</f>
        <v>23665130</v>
      </c>
      <c r="E46" s="154">
        <f>+SUMIF(апр!$E$5:$E$24,СводкаРасходов[[#This Row],[Фирмы]],апр!$L$5:$L$24)</f>
        <v>0</v>
      </c>
      <c r="F46" s="154">
        <f>+SUMIF(май!$E$2:$E$32,СводкаРасходов[[#This Row],[Фирмы]],май!$L$2:$L$32)</f>
        <v>0</v>
      </c>
      <c r="G46" s="154">
        <f>+SUMIF(июн!$E$3:$E$17,СводкаРасходов[[#This Row],[Фирмы]],июн!$L$3:$L$17)</f>
        <v>0</v>
      </c>
      <c r="H46" s="154">
        <f>+SUMIF(июл!$E$2:$E$44,СводкаРасходов[[#This Row],[Фирмы]],июл!$L$2:$L$44)</f>
        <v>13325000</v>
      </c>
      <c r="I46" s="154">
        <f>+SUMIF(авг!$E$2:$E$191,СводкаРасходов[[#This Row],[Фирмы]],авг!$L$2:$L$191)</f>
        <v>0</v>
      </c>
      <c r="J46" s="154">
        <f>+SUMIF(сен!$E$2:$E$173,СводкаРасходов[[#This Row],[Фирмы]],сен!$L$2:$L$173)</f>
        <v>0</v>
      </c>
      <c r="K46" s="154">
        <f>+SUMIF(окт!$E$2:$E$267,СводкаРасходов[[#This Row],[Фирмы]],окт!$L$2:$L$267)</f>
        <v>0</v>
      </c>
      <c r="L46" s="154"/>
      <c r="M46" s="154"/>
      <c r="N46" s="5">
        <f>SUM(СводкаРасходов[[#This Row],[Январь]:[Декабрь]])</f>
        <v>101495029</v>
      </c>
      <c r="O46" s="6"/>
      <c r="P46" s="31">
        <f>IFERROR(+СводкаРасходов[[#This Row],[Итог]]/СводкаРасходов[[#Totals],[Итог]],0)</f>
        <v>1.6777193590287908E-2</v>
      </c>
    </row>
    <row r="47" spans="1:16" ht="17.100000000000001" customHeight="1" x14ac:dyDescent="0.4">
      <c r="A47" s="191" t="s">
        <v>425</v>
      </c>
      <c r="B47" s="154">
        <f>+SUMIF(янв!$E$5:$E$322,СводкаРасходов[[#This Row],[Фирмы]],янв!$L$5:$L$322)</f>
        <v>4613124</v>
      </c>
      <c r="C47" s="154">
        <f>+SUMIF(фев!$E$4:$E$231,СводкаРасходов[[#This Row],[Фирмы]],фев!$L$4:$L$231)</f>
        <v>45349028</v>
      </c>
      <c r="D47" s="154">
        <f>+SUMIF(мар!$E$5:$E$74,СводкаРасходов[[#This Row],[Фирмы]],мар!$L$5:$L$74)</f>
        <v>0</v>
      </c>
      <c r="E47" s="154">
        <f>+SUMIF(апр!$E$5:$E$24,СводкаРасходов[[#This Row],[Фирмы]],апр!$L$5:$L$24)</f>
        <v>0</v>
      </c>
      <c r="F47" s="154">
        <f>+SUMIF(май!$E$2:$E$32,СводкаРасходов[[#This Row],[Фирмы]],май!$L$2:$L$32)</f>
        <v>0</v>
      </c>
      <c r="G47" s="154">
        <f>+SUMIF(июн!$E$3:$E$17,СводкаРасходов[[#This Row],[Фирмы]],июн!$L$3:$L$17)</f>
        <v>0</v>
      </c>
      <c r="H47" s="154">
        <f>+SUMIF(июл!$E$2:$E$44,СводкаРасходов[[#This Row],[Фирмы]],июл!$L$2:$L$44)</f>
        <v>0</v>
      </c>
      <c r="I47" s="154">
        <f>+SUMIF(авг!$E$2:$E$191,СводкаРасходов[[#This Row],[Фирмы]],авг!$L$2:$L$191)</f>
        <v>0</v>
      </c>
      <c r="J47" s="154">
        <f>+SUMIF(сен!$E$2:$E$173,СводкаРасходов[[#This Row],[Фирмы]],сен!$L$2:$L$173)</f>
        <v>0</v>
      </c>
      <c r="K47" s="154">
        <f>+SUMIF(окт!$E$2:$E$267,СводкаРасходов[[#This Row],[Фирмы]],окт!$L$2:$L$267)</f>
        <v>0</v>
      </c>
      <c r="L47" s="154"/>
      <c r="M47" s="154"/>
      <c r="N47" s="5">
        <f>SUM(СводкаРасходов[[#This Row],[Январь]:[Декабрь]])</f>
        <v>49962152</v>
      </c>
      <c r="O47" s="6"/>
      <c r="P47" s="31">
        <f>IFERROR(+СводкаРасходов[[#This Row],[Итог]]/СводкаРасходов[[#Totals],[Итог]],0)</f>
        <v>8.2587758686328405E-3</v>
      </c>
    </row>
    <row r="48" spans="1:16" ht="17.100000000000001" hidden="1" customHeight="1" x14ac:dyDescent="0.4">
      <c r="A48" s="191" t="s">
        <v>983</v>
      </c>
      <c r="B48" s="154">
        <f>+SUMIF(янв!$E$5:$E$322,СводкаРасходов[[#This Row],[Фирмы]],янв!$L$5:$L$322)</f>
        <v>0</v>
      </c>
      <c r="C48" s="154">
        <f>+SUMIF(фев!$E$4:$E$231,СводкаРасходов[[#This Row],[Фирмы]],фев!$L$4:$L$231)</f>
        <v>0</v>
      </c>
      <c r="D48" s="154">
        <f>+SUMIF(мар!$E$5:$E$74,СводкаРасходов[[#This Row],[Фирмы]],мар!$L$5:$L$74)</f>
        <v>0</v>
      </c>
      <c r="E48" s="154">
        <f>+SUMIF(апр!$E$5:$E$24,СводкаРасходов[[#This Row],[Фирмы]],апр!$L$5:$L$24)</f>
        <v>0</v>
      </c>
      <c r="F48" s="154">
        <f>+SUMIF(май!$E$2:$E$32,СводкаРасходов[[#This Row],[Фирмы]],май!$L$2:$L$32)</f>
        <v>0</v>
      </c>
      <c r="G48" s="154">
        <f>+SUMIF(июн!$E$3:$E$17,СводкаРасходов[[#This Row],[Фирмы]],июн!$L$3:$L$17)</f>
        <v>0</v>
      </c>
      <c r="H48" s="154">
        <f>+SUMIF(июл!$E$2:$E$44,СводкаРасходов[[#This Row],[Фирмы]],июл!$L$2:$L$44)</f>
        <v>0</v>
      </c>
      <c r="I48" s="154">
        <f>+SUMIF(авг!$E$2:$E$191,СводкаРасходов[[#This Row],[Фирмы]],авг!$L$2:$L$191)</f>
        <v>0</v>
      </c>
      <c r="J48" s="154">
        <f>+SUMIF(сен!$E$2:$E$173,СводкаРасходов[[#This Row],[Фирмы]],сен!$L$2:$L$173)</f>
        <v>0</v>
      </c>
      <c r="K48" s="154">
        <f>+SUMIF(окт!$E$2:$E$267,СводкаРасходов[[#This Row],[Фирмы]],окт!$L$2:$L$267)</f>
        <v>0</v>
      </c>
      <c r="L48" s="154"/>
      <c r="M48" s="154"/>
      <c r="N48" s="5">
        <f>SUM(СводкаРасходов[[#This Row],[Январь]:[Декабрь]])</f>
        <v>0</v>
      </c>
      <c r="O48" s="6"/>
      <c r="P48" s="31">
        <f>IFERROR(+СводкаРасходов[[#This Row],[Итог]]/СводкаРасходов[[#Totals],[Итог]],0)</f>
        <v>0</v>
      </c>
    </row>
    <row r="49" spans="1:16" ht="17.100000000000001" customHeight="1" x14ac:dyDescent="0.4">
      <c r="A49" s="191" t="s">
        <v>440</v>
      </c>
      <c r="B49" s="154">
        <f>+SUMIF(янв!$E$5:$E$322,СводкаРасходов[[#This Row],[Фирмы]],янв!$L$5:$L$322)</f>
        <v>0</v>
      </c>
      <c r="C49" s="154">
        <f>+SUMIF(фев!$E$4:$E$231,СводкаРасходов[[#This Row],[Фирмы]],фев!$L$4:$L$231)</f>
        <v>15856672</v>
      </c>
      <c r="D49" s="154">
        <f>+SUMIF(мар!$E$5:$E$74,СводкаРасходов[[#This Row],[Фирмы]],мар!$L$5:$L$74)</f>
        <v>0</v>
      </c>
      <c r="E49" s="154">
        <f>+SUMIF(апр!$E$5:$E$24,СводкаРасходов[[#This Row],[Фирмы]],апр!$L$5:$L$24)</f>
        <v>0</v>
      </c>
      <c r="F49" s="154">
        <f>+SUMIF(май!$E$2:$E$32,СводкаРасходов[[#This Row],[Фирмы]],май!$L$2:$L$32)</f>
        <v>0</v>
      </c>
      <c r="G49" s="154">
        <f>+SUMIF(июн!$E$3:$E$17,СводкаРасходов[[#This Row],[Фирмы]],июн!$L$3:$L$17)</f>
        <v>0</v>
      </c>
      <c r="H49" s="154">
        <f>+SUMIF(июл!$E$2:$E$44,СводкаРасходов[[#This Row],[Фирмы]],июл!$L$2:$L$44)</f>
        <v>0</v>
      </c>
      <c r="I49" s="154">
        <f>+SUMIF(авг!$E$2:$E$191,СводкаРасходов[[#This Row],[Фирмы]],авг!$L$2:$L$191)</f>
        <v>0</v>
      </c>
      <c r="J49" s="154">
        <f>+SUMIF(сен!$E$2:$E$173,СводкаРасходов[[#This Row],[Фирмы]],сен!$L$2:$L$173)</f>
        <v>0</v>
      </c>
      <c r="K49" s="154">
        <f>+SUMIF(окт!$E$2:$E$267,СводкаРасходов[[#This Row],[Фирмы]],окт!$L$2:$L$267)</f>
        <v>0</v>
      </c>
      <c r="L49" s="154"/>
      <c r="M49" s="154"/>
      <c r="N49" s="5">
        <f>SUM(СводкаРасходов[[#This Row],[Январь]:[Декабрь]])</f>
        <v>15856672</v>
      </c>
      <c r="O49" s="6"/>
      <c r="P49" s="31">
        <f>IFERROR(+СводкаРасходов[[#This Row],[Итог]]/СводкаРасходов[[#Totals],[Итог]],0)</f>
        <v>2.6211180829525923E-3</v>
      </c>
    </row>
    <row r="50" spans="1:16" ht="17.100000000000001" customHeight="1" x14ac:dyDescent="0.4">
      <c r="A50" s="191" t="s">
        <v>165</v>
      </c>
      <c r="B50" s="154">
        <f>+SUMIF(янв!$E$5:$E$322,СводкаРасходов[[#This Row],[Фирмы]],янв!$L$5:$L$322)</f>
        <v>26175716</v>
      </c>
      <c r="C50" s="154">
        <f>+SUMIF(фев!$E$4:$E$231,СводкаРасходов[[#This Row],[Фирмы]],фев!$L$4:$L$231)</f>
        <v>14590085</v>
      </c>
      <c r="D50" s="154">
        <f>+SUMIF(мар!$E$5:$E$74,СводкаРасходов[[#This Row],[Фирмы]],мар!$L$5:$L$74)</f>
        <v>4006999</v>
      </c>
      <c r="E50" s="154">
        <f>+SUMIF(апр!$E$5:$E$24,СводкаРасходов[[#This Row],[Фирмы]],апр!$L$5:$L$24)</f>
        <v>0</v>
      </c>
      <c r="F50" s="154">
        <f>+SUMIF(май!$E$2:$E$32,СводкаРасходов[[#This Row],[Фирмы]],май!$L$2:$L$32)</f>
        <v>0</v>
      </c>
      <c r="G50" s="154">
        <f>+SUMIF(июн!$E$3:$E$17,СводкаРасходов[[#This Row],[Фирмы]],июн!$L$3:$L$17)</f>
        <v>0</v>
      </c>
      <c r="H50" s="154">
        <f>+SUMIF(июл!$E$2:$E$44,СводкаРасходов[[#This Row],[Фирмы]],июл!$L$2:$L$44)</f>
        <v>0</v>
      </c>
      <c r="I50" s="154">
        <f>+SUMIF(авг!$E$2:$E$191,СводкаРасходов[[#This Row],[Фирмы]],авг!$L$2:$L$191)</f>
        <v>0</v>
      </c>
      <c r="J50" s="154">
        <f>+SUMIF(сен!$E$2:$E$173,СводкаРасходов[[#This Row],[Фирмы]],сен!$L$2:$L$173)</f>
        <v>4812839</v>
      </c>
      <c r="K50" s="154">
        <f>+SUMIF(окт!$E$2:$E$267,СводкаРасходов[[#This Row],[Фирмы]],окт!$L$2:$L$267)</f>
        <v>68831201</v>
      </c>
      <c r="L50" s="154"/>
      <c r="M50" s="154"/>
      <c r="N50" s="5">
        <f>SUM(СводкаРасходов[[#This Row],[Январь]:[Декабрь]])</f>
        <v>118416840</v>
      </c>
      <c r="O50" s="6"/>
      <c r="P50" s="31">
        <f>IFERROR(+СводкаРасходов[[#This Row],[Итог]]/СводкаРасходов[[#Totals],[Итог]],0)</f>
        <v>1.9574379835195169E-2</v>
      </c>
    </row>
    <row r="51" spans="1:16" ht="17.100000000000001" customHeight="1" x14ac:dyDescent="0.4">
      <c r="A51" s="191" t="s">
        <v>1142</v>
      </c>
      <c r="B51" s="154">
        <f>+SUMIF(янв!$E$5:$E$322,СводкаРасходов[[#This Row],[Фирмы]],янв!$L$5:$L$322)</f>
        <v>0</v>
      </c>
      <c r="C51" s="154">
        <f>+SUMIF(фев!$E$4:$E$231,СводкаРасходов[[#This Row],[Фирмы]],фев!$L$4:$L$231)</f>
        <v>0</v>
      </c>
      <c r="D51" s="154">
        <f>+SUMIF(мар!$E$5:$E$74,СводкаРасходов[[#This Row],[Фирмы]],мар!$L$5:$L$74)</f>
        <v>0</v>
      </c>
      <c r="E51" s="154">
        <f>+SUMIF(апр!$E$5:$E$24,СводкаРасходов[[#This Row],[Фирмы]],апр!$L$5:$L$24)</f>
        <v>0</v>
      </c>
      <c r="F51" s="154">
        <f>+SUMIF(май!$E$2:$E$32,СводкаРасходов[[#This Row],[Фирмы]],май!$L$2:$L$32)</f>
        <v>0</v>
      </c>
      <c r="G51" s="154">
        <f>+SUMIF(июн!$E$3:$E$17,СводкаРасходов[[#This Row],[Фирмы]],июн!$L$3:$L$17)</f>
        <v>0</v>
      </c>
      <c r="H51" s="154">
        <f>+SUMIF(июл!$E$2:$E$44,СводкаРасходов[[#This Row],[Фирмы]],июл!$L$2:$L$44)</f>
        <v>0</v>
      </c>
      <c r="I51" s="154">
        <f>+SUMIF(авг!$E$2:$E$191,СводкаРасходов[[#This Row],[Фирмы]],авг!$L$2:$L$191)</f>
        <v>150124000</v>
      </c>
      <c r="J51" s="154">
        <f>+SUMIF(сен!$E$2:$E$173,СводкаРасходов[[#This Row],[Фирмы]],сен!$L$2:$L$173)</f>
        <v>104794610</v>
      </c>
      <c r="K51" s="154">
        <f>+SUMIF(окт!$E$2:$E$267,СводкаРасходов[[#This Row],[Фирмы]],окт!$L$2:$L$267)</f>
        <v>201390838</v>
      </c>
      <c r="L51" s="154"/>
      <c r="M51" s="154"/>
      <c r="N51" s="5">
        <f>SUM(СводкаРасходов[[#This Row],[Январь]:[Декабрь]])</f>
        <v>456309448</v>
      </c>
      <c r="O51" s="6"/>
      <c r="P51" s="31">
        <f>IFERROR(+СводкаРасходов[[#This Row],[Итог]]/СводкаРасходов[[#Totals],[Итог]],0)</f>
        <v>7.5428245320008871E-2</v>
      </c>
    </row>
    <row r="52" spans="1:16" ht="17.100000000000001" customHeight="1" x14ac:dyDescent="0.4">
      <c r="A52" s="191" t="s">
        <v>158</v>
      </c>
      <c r="B52" s="154">
        <f>+SUMIF(янв!$E$5:$E$322,СводкаРасходов[[#This Row],[Фирмы]],янв!$L$5:$L$322)</f>
        <v>37877388</v>
      </c>
      <c r="C52" s="154">
        <f>+SUMIF(фев!$E$4:$E$231,СводкаРасходов[[#This Row],[Фирмы]],фев!$L$4:$L$231)</f>
        <v>20409650</v>
      </c>
      <c r="D52" s="154">
        <f>+SUMIF(мар!$E$5:$E$74,СводкаРасходов[[#This Row],[Фирмы]],мар!$L$5:$L$74)</f>
        <v>0</v>
      </c>
      <c r="E52" s="154">
        <f>+SUMIF(апр!$E$5:$E$24,СводкаРасходов[[#This Row],[Фирмы]],апр!$L$5:$L$24)</f>
        <v>0</v>
      </c>
      <c r="F52" s="154">
        <f>+SUMIF(май!$E$2:$E$32,СводкаРасходов[[#This Row],[Фирмы]],май!$L$2:$L$32)</f>
        <v>0</v>
      </c>
      <c r="G52" s="154">
        <f>+SUMIF(июн!$E$3:$E$17,СводкаРасходов[[#This Row],[Фирмы]],июн!$L$3:$L$17)</f>
        <v>5001370</v>
      </c>
      <c r="H52" s="154">
        <f>+SUMIF(июл!$E$2:$E$44,СводкаРасходов[[#This Row],[Фирмы]],июл!$L$2:$L$44)</f>
        <v>1791601</v>
      </c>
      <c r="I52" s="154">
        <f>+SUMIF(авг!$E$2:$E$191,СводкаРасходов[[#This Row],[Фирмы]],авг!$L$2:$L$191)</f>
        <v>0</v>
      </c>
      <c r="J52" s="154">
        <f>+SUMIF(сен!$E$2:$E$173,СводкаРасходов[[#This Row],[Фирмы]],сен!$L$2:$L$173)</f>
        <v>0</v>
      </c>
      <c r="K52" s="154">
        <f>+SUMIF(окт!$E$2:$E$267,СводкаРасходов[[#This Row],[Фирмы]],окт!$L$2:$L$267)</f>
        <v>0</v>
      </c>
      <c r="L52" s="154"/>
      <c r="M52" s="154"/>
      <c r="N52" s="5">
        <f>SUM(СводкаРасходов[[#This Row],[Январь]:[Декабрь]])</f>
        <v>65080009</v>
      </c>
      <c r="O52" s="6"/>
      <c r="P52" s="31">
        <f>IFERROR(+СводкаРасходов[[#This Row],[Итог]]/СводкаРасходов[[#Totals],[Итог]],0)</f>
        <v>1.0757767356770542E-2</v>
      </c>
    </row>
    <row r="53" spans="1:16" ht="17.100000000000001" customHeight="1" x14ac:dyDescent="0.4">
      <c r="A53" s="191" t="s">
        <v>114</v>
      </c>
      <c r="B53" s="154">
        <f>+SUMIF(янв!$E$5:$E$322,СводкаРасходов[[#This Row],[Фирмы]],янв!$L$5:$L$322)</f>
        <v>31501852</v>
      </c>
      <c r="C53" s="154">
        <f>+SUMIF(фев!$E$4:$E$231,СводкаРасходов[[#This Row],[Фирмы]],фев!$L$4:$L$231)</f>
        <v>14672214</v>
      </c>
      <c r="D53" s="154">
        <f>+SUMIF(мар!$E$5:$E$74,СводкаРасходов[[#This Row],[Фирмы]],мар!$L$5:$L$74)</f>
        <v>0</v>
      </c>
      <c r="E53" s="154">
        <f>+SUMIF(апр!$E$5:$E$24,СводкаРасходов[[#This Row],[Фирмы]],апр!$L$5:$L$24)</f>
        <v>0</v>
      </c>
      <c r="F53" s="154">
        <f>+SUMIF(май!$E$2:$E$32,СводкаРасходов[[#This Row],[Фирмы]],май!$L$2:$L$32)</f>
        <v>0</v>
      </c>
      <c r="G53" s="154">
        <f>+SUMIF(июн!$E$3:$E$17,СводкаРасходов[[#This Row],[Фирмы]],июн!$L$3:$L$17)</f>
        <v>0</v>
      </c>
      <c r="H53" s="154">
        <f>+SUMIF(июл!$E$2:$E$44,СводкаРасходов[[#This Row],[Фирмы]],июл!$L$2:$L$44)</f>
        <v>0</v>
      </c>
      <c r="I53" s="154">
        <f>+SUMIF(авг!$E$2:$E$191,СводкаРасходов[[#This Row],[Фирмы]],авг!$L$2:$L$191)</f>
        <v>0</v>
      </c>
      <c r="J53" s="154">
        <f>+SUMIF(сен!$E$2:$E$173,СводкаРасходов[[#This Row],[Фирмы]],сен!$L$2:$L$173)</f>
        <v>0</v>
      </c>
      <c r="K53" s="154">
        <f>+SUMIF(окт!$E$2:$E$267,СводкаРасходов[[#This Row],[Фирмы]],окт!$L$2:$L$267)</f>
        <v>0</v>
      </c>
      <c r="L53" s="154"/>
      <c r="M53" s="154"/>
      <c r="N53" s="5">
        <f>SUM(СводкаРасходов[[#This Row],[Январь]:[Декабрь]])</f>
        <v>46174066</v>
      </c>
      <c r="O53" s="6"/>
      <c r="P53" s="31">
        <f>IFERROR(+СводкаРасходов[[#This Row],[Итог]]/СводкаРасходов[[#Totals],[Итог]],0)</f>
        <v>7.6326028157766316E-3</v>
      </c>
    </row>
    <row r="54" spans="1:16" ht="17.100000000000001" customHeight="1" x14ac:dyDescent="0.4">
      <c r="A54" s="191" t="s">
        <v>351</v>
      </c>
      <c r="B54" s="154">
        <f>+SUMIF(янв!$E$5:$E$322,СводкаРасходов[[#This Row],[Фирмы]],янв!$L$5:$L$322)</f>
        <v>11187257</v>
      </c>
      <c r="C54" s="154">
        <f>+SUMIF(фев!$E$4:$E$231,СводкаРасходов[[#This Row],[Фирмы]],фев!$L$4:$L$231)</f>
        <v>5476974</v>
      </c>
      <c r="D54" s="154">
        <f>+SUMIF(мар!$E$5:$E$74,СводкаРасходов[[#This Row],[Фирмы]],мар!$L$5:$L$74)</f>
        <v>0</v>
      </c>
      <c r="E54" s="154">
        <f>+SUMIF(апр!$E$5:$E$24,СводкаРасходов[[#This Row],[Фирмы]],апр!$L$5:$L$24)</f>
        <v>64974000</v>
      </c>
      <c r="F54" s="154">
        <f>+SUMIF(май!$E$2:$E$32,СводкаРасходов[[#This Row],[Фирмы]],май!$L$2:$L$32)</f>
        <v>0</v>
      </c>
      <c r="G54" s="154">
        <f>+SUMIF(июн!$E$3:$E$17,СводкаРасходов[[#This Row],[Фирмы]],июн!$L$3:$L$17)</f>
        <v>0</v>
      </c>
      <c r="H54" s="154">
        <f>+SUMIF(июл!$E$2:$E$44,СводкаРасходов[[#This Row],[Фирмы]],июл!$L$2:$L$44)</f>
        <v>0</v>
      </c>
      <c r="I54" s="154">
        <f>+SUMIF(авг!$E$2:$E$191,СводкаРасходов[[#This Row],[Фирмы]],авг!$L$2:$L$191)</f>
        <v>0</v>
      </c>
      <c r="J54" s="154">
        <f>+SUMIF(сен!$E$2:$E$173,СводкаРасходов[[#This Row],[Фирмы]],сен!$L$2:$L$173)</f>
        <v>0</v>
      </c>
      <c r="K54" s="154">
        <f>+SUMIF(окт!$E$2:$E$267,СводкаРасходов[[#This Row],[Фирмы]],окт!$L$2:$L$267)</f>
        <v>0</v>
      </c>
      <c r="L54" s="154"/>
      <c r="M54" s="154"/>
      <c r="N54" s="5">
        <f>SUM(СводкаРасходов[[#This Row],[Январь]:[Декабрь]])</f>
        <v>81638231</v>
      </c>
      <c r="O54" s="6"/>
      <c r="P54" s="31">
        <f>IFERROR(+СводкаРасходов[[#This Row],[Итог]]/СводкаРасходов[[#Totals],[Итог]],0)</f>
        <v>1.3494852106063675E-2</v>
      </c>
    </row>
    <row r="55" spans="1:16" ht="17.100000000000001" customHeight="1" x14ac:dyDescent="0.4">
      <c r="A55" s="191" t="s">
        <v>441</v>
      </c>
      <c r="B55" s="154">
        <f>+SUMIF(янв!$E$5:$E$322,СводкаРасходов[[#This Row],[Фирмы]],янв!$L$5:$L$322)</f>
        <v>0</v>
      </c>
      <c r="C55" s="154">
        <f>+SUMIF(фев!$E$4:$E$231,СводкаРасходов[[#This Row],[Фирмы]],фев!$L$4:$L$231)</f>
        <v>0</v>
      </c>
      <c r="D55" s="154">
        <f>+SUMIF(мар!$E$5:$E$74,СводкаРасходов[[#This Row],[Фирмы]],мар!$L$5:$L$74)</f>
        <v>14975313</v>
      </c>
      <c r="E55" s="154">
        <f>+SUMIF(апр!$E$5:$E$24,СводкаРасходов[[#This Row],[Фирмы]],апр!$L$5:$L$24)</f>
        <v>0</v>
      </c>
      <c r="F55" s="154">
        <f>+SUMIF(май!$E$2:$E$32,СводкаРасходов[[#This Row],[Фирмы]],май!$L$2:$L$32)</f>
        <v>0</v>
      </c>
      <c r="G55" s="154">
        <f>+SUMIF(июн!$E$3:$E$17,СводкаРасходов[[#This Row],[Фирмы]],июн!$L$3:$L$17)</f>
        <v>0</v>
      </c>
      <c r="H55" s="154">
        <f>+SUMIF(июл!$E$2:$E$44,СводкаРасходов[[#This Row],[Фирмы]],июл!$L$2:$L$44)</f>
        <v>0</v>
      </c>
      <c r="I55" s="154">
        <f>+SUMIF(авг!$E$2:$E$191,СводкаРасходов[[#This Row],[Фирмы]],авг!$L$2:$L$191)</f>
        <v>0</v>
      </c>
      <c r="J55" s="154">
        <f>+SUMIF(сен!$E$2:$E$173,СводкаРасходов[[#This Row],[Фирмы]],сен!$L$2:$L$173)</f>
        <v>0</v>
      </c>
      <c r="K55" s="154">
        <f>+SUMIF(окт!$E$2:$E$267,СводкаРасходов[[#This Row],[Фирмы]],окт!$L$2:$L$267)</f>
        <v>0</v>
      </c>
      <c r="L55" s="154"/>
      <c r="M55" s="154"/>
      <c r="N55" s="5">
        <f>SUM(СводкаРасходов[[#This Row],[Январь]:[Декабрь]])</f>
        <v>14975313</v>
      </c>
      <c r="O55" s="6"/>
      <c r="P55" s="31">
        <f>IFERROR(+СводкаРасходов[[#This Row],[Итог]]/СводкаРасходов[[#Totals],[Итог]],0)</f>
        <v>2.4754288732323549E-3</v>
      </c>
    </row>
    <row r="56" spans="1:16" ht="17.100000000000001" hidden="1" customHeight="1" x14ac:dyDescent="0.4">
      <c r="A56" s="191" t="s">
        <v>442</v>
      </c>
      <c r="B56" s="154">
        <f>+SUMIF(янв!$E$5:$E$322,СводкаРасходов[[#This Row],[Фирмы]],янв!$L$5:$L$322)</f>
        <v>0</v>
      </c>
      <c r="C56" s="154">
        <f>+SUMIF(фев!$E$4:$E$231,СводкаРасходов[[#This Row],[Фирмы]],фев!$L$4:$L$231)</f>
        <v>0</v>
      </c>
      <c r="D56" s="154">
        <f>+SUMIF(мар!$E$5:$E$74,СводкаРасходов[[#This Row],[Фирмы]],мар!$L$5:$L$74)</f>
        <v>0</v>
      </c>
      <c r="E56" s="154">
        <f>+SUMIF(апр!$E$5:$E$24,СводкаРасходов[[#This Row],[Фирмы]],апр!$L$5:$L$24)</f>
        <v>0</v>
      </c>
      <c r="F56" s="154">
        <f>+SUMIF(май!$E$2:$E$32,СводкаРасходов[[#This Row],[Фирмы]],май!$L$2:$L$32)</f>
        <v>0</v>
      </c>
      <c r="G56" s="154">
        <f>+SUMIF(июн!$E$3:$E$17,СводкаРасходов[[#This Row],[Фирмы]],июн!$L$3:$L$17)</f>
        <v>0</v>
      </c>
      <c r="H56" s="154">
        <f>+SUMIF(июл!$E$2:$E$44,СводкаРасходов[[#This Row],[Фирмы]],июл!$L$2:$L$44)</f>
        <v>0</v>
      </c>
      <c r="I56" s="154">
        <f>+SUMIF(авг!$E$2:$E$191,СводкаРасходов[[#This Row],[Фирмы]],авг!$L$2:$L$191)</f>
        <v>0</v>
      </c>
      <c r="J56" s="154">
        <f>+SUMIF(сен!$E$2:$E$173,СводкаРасходов[[#This Row],[Фирмы]],сен!$L$2:$L$173)</f>
        <v>0</v>
      </c>
      <c r="K56" s="154">
        <f>+SUMIF(окт!$E$2:$E$267,СводкаРасходов[[#This Row],[Фирмы]],окт!$L$2:$L$267)</f>
        <v>0</v>
      </c>
      <c r="L56" s="154"/>
      <c r="M56" s="154"/>
      <c r="N56" s="5">
        <f>SUM(СводкаРасходов[[#This Row],[Январь]:[Декабрь]])</f>
        <v>0</v>
      </c>
      <c r="O56" s="6"/>
      <c r="P56" s="31">
        <f>IFERROR(+СводкаРасходов[[#This Row],[Итог]]/СводкаРасходов[[#Totals],[Итог]],0)</f>
        <v>0</v>
      </c>
    </row>
    <row r="57" spans="1:16" ht="17.100000000000001" customHeight="1" x14ac:dyDescent="0.4">
      <c r="A57" s="191" t="s">
        <v>365</v>
      </c>
      <c r="B57" s="154">
        <f>+SUMIF(янв!$E$5:$E$322,СводкаРасходов[[#This Row],[Фирмы]],янв!$L$5:$L$322)</f>
        <v>28556868</v>
      </c>
      <c r="C57" s="154">
        <f>+SUMIF(фев!$E$4:$E$231,СводкаРасходов[[#This Row],[Фирмы]],фев!$L$4:$L$231)</f>
        <v>27725997</v>
      </c>
      <c r="D57" s="154">
        <f>+SUMIF(мар!$E$5:$E$74,СводкаРасходов[[#This Row],[Фирмы]],мар!$L$5:$L$74)</f>
        <v>38405537</v>
      </c>
      <c r="E57" s="154">
        <f>+SUMIF(апр!$E$5:$E$24,СводкаРасходов[[#This Row],[Фирмы]],апр!$L$5:$L$24)</f>
        <v>9996000</v>
      </c>
      <c r="F57" s="154">
        <f>+SUMIF(май!$E$2:$E$32,СводкаРасходов[[#This Row],[Фирмы]],май!$L$2:$L$32)</f>
        <v>0</v>
      </c>
      <c r="G57" s="154">
        <f>+SUMIF(июн!$E$3:$E$17,СводкаРасходов[[#This Row],[Фирмы]],июн!$L$3:$L$17)</f>
        <v>0</v>
      </c>
      <c r="H57" s="154">
        <f>+SUMIF(июл!$E$2:$E$44,СводкаРасходов[[#This Row],[Фирмы]],июл!$L$2:$L$44)</f>
        <v>0</v>
      </c>
      <c r="I57" s="154">
        <f>+SUMIF(авг!$E$2:$E$191,СводкаРасходов[[#This Row],[Фирмы]],авг!$L$2:$L$191)</f>
        <v>0</v>
      </c>
      <c r="J57" s="154">
        <f>+SUMIF(сен!$E$2:$E$173,СводкаРасходов[[#This Row],[Фирмы]],сен!$L$2:$L$173)</f>
        <v>0</v>
      </c>
      <c r="K57" s="154">
        <f>+SUMIF(окт!$E$2:$E$267,СводкаРасходов[[#This Row],[Фирмы]],окт!$L$2:$L$267)</f>
        <v>36483909</v>
      </c>
      <c r="L57" s="154"/>
      <c r="M57" s="154"/>
      <c r="N57" s="5">
        <f>SUM(СводкаРасходов[[#This Row],[Январь]:[Декабрь]])</f>
        <v>141168311</v>
      </c>
      <c r="O57" s="6"/>
      <c r="P57" s="31">
        <f>IFERROR(+СводкаРасходов[[#This Row],[Итог]]/СводкаРасходов[[#Totals],[Итог]],0)</f>
        <v>2.3335212628600464E-2</v>
      </c>
    </row>
    <row r="58" spans="1:16" ht="17.100000000000001" customHeight="1" x14ac:dyDescent="0.4">
      <c r="A58" s="191" t="s">
        <v>1145</v>
      </c>
      <c r="B58" s="154">
        <f>+SUMIF(янв!$E$5:$E$322,СводкаРасходов[[#This Row],[Фирмы]],янв!$L$5:$L$322)</f>
        <v>0</v>
      </c>
      <c r="C58" s="154">
        <f>+SUMIF(фев!$E$4:$E$231,СводкаРасходов[[#This Row],[Фирмы]],фев!$L$4:$L$231)</f>
        <v>0</v>
      </c>
      <c r="D58" s="154">
        <f>+SUMIF(мар!$E$5:$E$74,СводкаРасходов[[#This Row],[Фирмы]],мар!$L$5:$L$74)</f>
        <v>0</v>
      </c>
      <c r="E58" s="154">
        <f>+SUMIF(апр!$E$5:$E$24,СводкаРасходов[[#This Row],[Фирмы]],апр!$L$5:$L$24)</f>
        <v>0</v>
      </c>
      <c r="F58" s="154">
        <f>+SUMIF(май!$E$2:$E$32,СводкаРасходов[[#This Row],[Фирмы]],май!$L$2:$L$32)</f>
        <v>0</v>
      </c>
      <c r="G58" s="154">
        <f>+SUMIF(июн!$E$3:$E$17,СводкаРасходов[[#This Row],[Фирмы]],июн!$L$3:$L$17)</f>
        <v>0</v>
      </c>
      <c r="H58" s="154">
        <f>+SUMIF(июл!$E$2:$E$44,СводкаРасходов[[#This Row],[Фирмы]],июл!$L$2:$L$44)</f>
        <v>0</v>
      </c>
      <c r="I58" s="154">
        <f>+SUMIF(авг!$E$2:$E$191,СводкаРасходов[[#This Row],[Фирмы]],авг!$L$2:$L$191)</f>
        <v>18852390</v>
      </c>
      <c r="J58" s="154">
        <f>+SUMIF(сен!$E$2:$E$173,СводкаРасходов[[#This Row],[Фирмы]],сен!$L$2:$L$173)</f>
        <v>0</v>
      </c>
      <c r="K58" s="154">
        <f>+SUMIF(окт!$E$2:$E$267,СводкаРасходов[[#This Row],[Фирмы]],окт!$L$2:$L$267)</f>
        <v>0</v>
      </c>
      <c r="L58" s="154"/>
      <c r="M58" s="154"/>
      <c r="N58" s="5">
        <f>SUM(СводкаРасходов[[#This Row],[Январь]:[Декабрь]])</f>
        <v>18852390</v>
      </c>
      <c r="O58" s="6"/>
      <c r="P58" s="31">
        <f>IFERROR(+СводкаРасходов[[#This Row],[Итог]]/СводкаРасходов[[#Totals],[Итог]],0)</f>
        <v>3.1163121956407133E-3</v>
      </c>
    </row>
    <row r="59" spans="1:16" ht="17.100000000000001" customHeight="1" x14ac:dyDescent="0.4">
      <c r="A59" s="191" t="s">
        <v>986</v>
      </c>
      <c r="B59" s="154">
        <f>+SUMIF(янв!$E$5:$E$322,СводкаРасходов[[#This Row],[Фирмы]],янв!$L$5:$L$322)</f>
        <v>0</v>
      </c>
      <c r="C59" s="154">
        <f>+SUMIF(фев!$E$4:$E$231,СводкаРасходов[[#This Row],[Фирмы]],фев!$L$4:$L$231)</f>
        <v>0</v>
      </c>
      <c r="D59" s="154">
        <f>+SUMIF(мар!$E$5:$E$74,СводкаРасходов[[#This Row],[Фирмы]],мар!$L$5:$L$74)</f>
        <v>0</v>
      </c>
      <c r="E59" s="154">
        <f>+SUMIF(апр!$E$5:$E$24,СводкаРасходов[[#This Row],[Фирмы]],апр!$L$5:$L$24)</f>
        <v>0</v>
      </c>
      <c r="F59" s="154">
        <f>+SUMIF(май!$E$2:$E$32,СводкаРасходов[[#This Row],[Фирмы]],май!$L$2:$L$32)</f>
        <v>0</v>
      </c>
      <c r="G59" s="154">
        <f>+SUMIF(июн!$E$3:$E$17,СводкаРасходов[[#This Row],[Фирмы]],июн!$L$3:$L$17)</f>
        <v>0</v>
      </c>
      <c r="H59" s="154">
        <f>+SUMIF(июл!$E$2:$E$44,СводкаРасходов[[#This Row],[Фирмы]],июл!$L$2:$L$44)</f>
        <v>0</v>
      </c>
      <c r="I59" s="154">
        <f>+SUMIF(авг!$E$2:$E$191,СводкаРасходов[[#This Row],[Фирмы]],авг!$L$2:$L$191)</f>
        <v>0</v>
      </c>
      <c r="J59" s="154">
        <f>+SUMIF(сен!$E$2:$E$173,СводкаРасходов[[#This Row],[Фирмы]],сен!$L$2:$L$173)</f>
        <v>128850025.58</v>
      </c>
      <c r="K59" s="154">
        <f>+SUMIF(окт!$E$2:$E$267,СводкаРасходов[[#This Row],[Фирмы]],окт!$L$2:$L$267)</f>
        <v>127561059</v>
      </c>
      <c r="L59" s="154"/>
      <c r="M59" s="154"/>
      <c r="N59" s="5">
        <f>SUM(СводкаРасходов[[#This Row],[Январь]:[Декабрь]])</f>
        <v>256411084.57999998</v>
      </c>
      <c r="O59" s="6"/>
      <c r="P59" s="31">
        <f>IFERROR(+СводкаРасходов[[#This Row],[Итог]]/СводкаРасходов[[#Totals],[Итог]],0)</f>
        <v>4.2384917242541474E-2</v>
      </c>
    </row>
    <row r="60" spans="1:16" ht="17.100000000000001" customHeight="1" x14ac:dyDescent="0.4">
      <c r="A60" s="191" t="s">
        <v>443</v>
      </c>
      <c r="B60" s="154">
        <f>+SUMIF(янв!$E$5:$E$322,СводкаРасходов[[#This Row],[Фирмы]],янв!$L$5:$L$322)</f>
        <v>0</v>
      </c>
      <c r="C60" s="154">
        <f>+SUMIF(фев!$E$4:$E$231,СводкаРасходов[[#This Row],[Фирмы]],фев!$L$4:$L$231)</f>
        <v>0</v>
      </c>
      <c r="D60" s="154">
        <f>+SUMIF(мар!$E$5:$E$74,СводкаРасходов[[#This Row],[Фирмы]],мар!$L$5:$L$74)</f>
        <v>0</v>
      </c>
      <c r="E60" s="154">
        <f>+SUMIF(апр!$E$5:$E$24,СводкаРасходов[[#This Row],[Фирмы]],апр!$L$5:$L$24)</f>
        <v>0</v>
      </c>
      <c r="F60" s="154">
        <f>+SUMIF(май!$E$2:$E$32,СводкаРасходов[[#This Row],[Фирмы]],май!$L$2:$L$32)</f>
        <v>63101952</v>
      </c>
      <c r="G60" s="154">
        <f>+SUMIF(июн!$E$3:$E$17,СводкаРасходов[[#This Row],[Фирмы]],июн!$L$3:$L$17)</f>
        <v>0</v>
      </c>
      <c r="H60" s="154">
        <f>+SUMIF(июл!$E$2:$E$44,СводкаРасходов[[#This Row],[Фирмы]],июл!$L$2:$L$44)</f>
        <v>0</v>
      </c>
      <c r="I60" s="154">
        <f>+SUMIF(авг!$E$2:$E$191,СводкаРасходов[[#This Row],[Фирмы]],авг!$L$2:$L$191)</f>
        <v>0</v>
      </c>
      <c r="J60" s="154">
        <f>+SUMIF(сен!$E$2:$E$173,СводкаРасходов[[#This Row],[Фирмы]],сен!$L$2:$L$173)</f>
        <v>0</v>
      </c>
      <c r="K60" s="154">
        <f>+SUMIF(окт!$E$2:$E$267,СводкаРасходов[[#This Row],[Фирмы]],окт!$L$2:$L$267)</f>
        <v>0</v>
      </c>
      <c r="L60" s="154"/>
      <c r="M60" s="154"/>
      <c r="N60" s="5">
        <f>SUM(СводкаРасходов[[#This Row],[Январь]:[Декабрь]])</f>
        <v>63101952</v>
      </c>
      <c r="O60" s="6"/>
      <c r="P60" s="31">
        <f>IFERROR(+СводкаРасходов[[#This Row],[Итог]]/СводкаРасходов[[#Totals],[Итог]],0)</f>
        <v>1.0430793262092229E-2</v>
      </c>
    </row>
    <row r="61" spans="1:16" ht="17.100000000000001" hidden="1" customHeight="1" x14ac:dyDescent="0.4">
      <c r="A61" s="191" t="s">
        <v>451</v>
      </c>
      <c r="B61" s="154">
        <f>+SUMIF(янв!$E$5:$E$322,СводкаРасходов[[#This Row],[Фирмы]],янв!$L$5:$L$322)</f>
        <v>0</v>
      </c>
      <c r="C61" s="154">
        <f>+SUMIF(фев!$E$4:$E$231,СводкаРасходов[[#This Row],[Фирмы]],фев!$L$4:$L$231)</f>
        <v>0</v>
      </c>
      <c r="D61" s="154">
        <f>+SUMIF(мар!$E$5:$E$74,СводкаРасходов[[#This Row],[Фирмы]],мар!$L$5:$L$74)</f>
        <v>0</v>
      </c>
      <c r="E61" s="154">
        <f>+SUMIF(апр!$E$5:$E$24,СводкаРасходов[[#This Row],[Фирмы]],апр!$L$5:$L$24)</f>
        <v>0</v>
      </c>
      <c r="F61" s="154">
        <f>+SUMIF(май!$E$2:$E$32,СводкаРасходов[[#This Row],[Фирмы]],май!$L$2:$L$32)</f>
        <v>0</v>
      </c>
      <c r="G61" s="154">
        <f>+SUMIF(июн!$E$3:$E$17,СводкаРасходов[[#This Row],[Фирмы]],июн!$L$3:$L$17)</f>
        <v>0</v>
      </c>
      <c r="H61" s="154">
        <f>+SUMIF(июл!$E$2:$E$44,СводкаРасходов[[#This Row],[Фирмы]],июл!$L$2:$L$44)</f>
        <v>0</v>
      </c>
      <c r="I61" s="154">
        <f>+SUMIF(авг!$E$2:$E$191,СводкаРасходов[[#This Row],[Фирмы]],авг!$L$2:$L$191)</f>
        <v>0</v>
      </c>
      <c r="J61" s="154">
        <f>+SUMIF(сен!$E$2:$E$173,СводкаРасходов[[#This Row],[Фирмы]],сен!$L$2:$L$173)</f>
        <v>0</v>
      </c>
      <c r="K61" s="154">
        <f>+SUMIF(окт!$E$2:$E$267,СводкаРасходов[[#This Row],[Фирмы]],окт!$L$2:$L$267)</f>
        <v>0</v>
      </c>
      <c r="L61" s="154"/>
      <c r="M61" s="154"/>
      <c r="N61" s="5">
        <f>SUM(СводкаРасходов[[#This Row],[Январь]:[Декабрь]])</f>
        <v>0</v>
      </c>
      <c r="O61" s="6"/>
      <c r="P61" s="31">
        <f>IFERROR(+СводкаРасходов[[#This Row],[Итог]]/СводкаРасходов[[#Totals],[Итог]],0)</f>
        <v>0</v>
      </c>
    </row>
    <row r="62" spans="1:16" ht="17.100000000000001" customHeight="1" x14ac:dyDescent="0.4">
      <c r="A62" s="191" t="s">
        <v>452</v>
      </c>
      <c r="B62" s="154">
        <f>+SUMIF(янв!$E$5:$E$322,СводкаРасходов[[#This Row],[Фирмы]],янв!$L$5:$L$322)</f>
        <v>0</v>
      </c>
      <c r="C62" s="154">
        <f>+SUMIF(фев!$E$4:$E$231,СводкаРасходов[[#This Row],[Фирмы]],фев!$L$4:$L$231)</f>
        <v>40838018</v>
      </c>
      <c r="D62" s="154">
        <f>+SUMIF(мар!$E$5:$E$74,СводкаРасходов[[#This Row],[Фирмы]],мар!$L$5:$L$74)</f>
        <v>0</v>
      </c>
      <c r="E62" s="154">
        <f>+SUMIF(апр!$E$5:$E$24,СводкаРасходов[[#This Row],[Фирмы]],апр!$L$5:$L$24)</f>
        <v>0</v>
      </c>
      <c r="F62" s="154">
        <f>+SUMIF(май!$E$2:$E$32,СводкаРасходов[[#This Row],[Фирмы]],май!$L$2:$L$32)</f>
        <v>0</v>
      </c>
      <c r="G62" s="154">
        <f>+SUMIF(июн!$E$3:$E$17,СводкаРасходов[[#This Row],[Фирмы]],июн!$L$3:$L$17)</f>
        <v>0</v>
      </c>
      <c r="H62" s="154">
        <f>+SUMIF(июл!$E$2:$E$44,СводкаРасходов[[#This Row],[Фирмы]],июл!$L$2:$L$44)</f>
        <v>0</v>
      </c>
      <c r="I62" s="154">
        <f>+SUMIF(авг!$E$2:$E$191,СводкаРасходов[[#This Row],[Фирмы]],авг!$L$2:$L$191)</f>
        <v>0</v>
      </c>
      <c r="J62" s="154">
        <f>+SUMIF(сен!$E$2:$E$173,СводкаРасходов[[#This Row],[Фирмы]],сен!$L$2:$L$173)</f>
        <v>0</v>
      </c>
      <c r="K62" s="154">
        <f>+SUMIF(окт!$E$2:$E$267,СводкаРасходов[[#This Row],[Фирмы]],окт!$L$2:$L$267)</f>
        <v>0</v>
      </c>
      <c r="L62" s="154"/>
      <c r="M62" s="154"/>
      <c r="N62" s="5">
        <f>SUM(СводкаРасходов[[#This Row],[Январь]:[Декабрь]])</f>
        <v>40838018</v>
      </c>
      <c r="O62" s="6"/>
      <c r="P62" s="31">
        <f>IFERROR(+СводкаРасходов[[#This Row],[Итог]]/СводкаРасходов[[#Totals],[Итог]],0)</f>
        <v>6.7505506484427163E-3</v>
      </c>
    </row>
    <row r="63" spans="1:16" ht="17.100000000000001" hidden="1" customHeight="1" x14ac:dyDescent="0.4">
      <c r="A63" s="191" t="s">
        <v>444</v>
      </c>
      <c r="B63" s="154">
        <f>+SUMIF(янв!$E$5:$E$322,СводкаРасходов[[#This Row],[Фирмы]],янв!$L$5:$L$322)</f>
        <v>0</v>
      </c>
      <c r="C63" s="154">
        <f>+SUMIF(фев!$E$4:$E$231,СводкаРасходов[[#This Row],[Фирмы]],фев!$L$4:$L$231)</f>
        <v>0</v>
      </c>
      <c r="D63" s="154">
        <f>+SUMIF(мар!$E$5:$E$74,СводкаРасходов[[#This Row],[Фирмы]],мар!$L$5:$L$74)</f>
        <v>0</v>
      </c>
      <c r="E63" s="154">
        <f>+SUMIF(апр!$E$5:$E$24,СводкаРасходов[[#This Row],[Фирмы]],апр!$L$5:$L$24)</f>
        <v>0</v>
      </c>
      <c r="F63" s="154">
        <f>+SUMIF(май!$E$2:$E$32,СводкаРасходов[[#This Row],[Фирмы]],май!$L$2:$L$32)</f>
        <v>0</v>
      </c>
      <c r="G63" s="154">
        <f>+SUMIF(июн!$E$3:$E$17,СводкаРасходов[[#This Row],[Фирмы]],июн!$L$3:$L$17)</f>
        <v>0</v>
      </c>
      <c r="H63" s="154">
        <f>+SUMIF(июл!$E$2:$E$44,СводкаРасходов[[#This Row],[Фирмы]],июл!$L$2:$L$44)</f>
        <v>0</v>
      </c>
      <c r="I63" s="154">
        <f>+SUMIF(авг!$E$2:$E$191,СводкаРасходов[[#This Row],[Фирмы]],авг!$L$2:$L$191)</f>
        <v>0</v>
      </c>
      <c r="J63" s="154">
        <f>+SUMIF(сен!$E$2:$E$173,СводкаРасходов[[#This Row],[Фирмы]],сен!$L$2:$L$173)</f>
        <v>0</v>
      </c>
      <c r="K63" s="154">
        <f>+SUMIF(окт!$E$2:$E$267,СводкаРасходов[[#This Row],[Фирмы]],окт!$L$2:$L$267)</f>
        <v>0</v>
      </c>
      <c r="L63" s="154"/>
      <c r="M63" s="154"/>
      <c r="N63" s="5">
        <f>SUM(СводкаРасходов[[#This Row],[Январь]:[Декабрь]])</f>
        <v>0</v>
      </c>
      <c r="O63" s="6"/>
      <c r="P63" s="31">
        <f>IFERROR(+СводкаРасходов[[#This Row],[Итог]]/СводкаРасходов[[#Totals],[Итог]],0)</f>
        <v>0</v>
      </c>
    </row>
    <row r="64" spans="1:16" ht="30" customHeight="1" x14ac:dyDescent="0.4">
      <c r="A64" s="7" t="s">
        <v>13</v>
      </c>
      <c r="B64" s="137">
        <f>SUBTOTAL(109,СводкаРасходов[Январь])</f>
        <v>843081884</v>
      </c>
      <c r="C64" s="137">
        <f>SUBTOTAL(109,СводкаРасходов[Февраль])</f>
        <v>928045430</v>
      </c>
      <c r="D64" s="137">
        <f>SUBTOTAL(109,СводкаРасходов[Март])</f>
        <v>312275641</v>
      </c>
      <c r="E64" s="137">
        <f>SUBTOTAL(109,СводкаРасходов[Апрель])</f>
        <v>95004338</v>
      </c>
      <c r="F64" s="137">
        <f>SUBTOTAL(109,СводкаРасходов[Май])</f>
        <v>88561272</v>
      </c>
      <c r="G64" s="137">
        <f>SUBTOTAL(109,СводкаРасходов[Июнь])</f>
        <v>26041100</v>
      </c>
      <c r="H64" s="137">
        <f>SUBTOTAL(109,СводкаРасходов[Июль])</f>
        <v>222183696</v>
      </c>
      <c r="I64" s="137">
        <f>SUBTOTAL(109,СводкаРасходов[Август])</f>
        <v>1220314780</v>
      </c>
      <c r="J64" s="137">
        <f>SUBTOTAL(109,СводкаРасходов[Сентябрь])</f>
        <v>1125236310.5799999</v>
      </c>
      <c r="K64" s="137">
        <f>SUBTOTAL(109,СводкаРасходов[Октябрь])</f>
        <v>1188838779</v>
      </c>
      <c r="L64" s="137">
        <f>SUBTOTAL(109,СводкаРасходов[Ноябрь])</f>
        <v>0</v>
      </c>
      <c r="M64" s="137">
        <f>SUBTOTAL(109,СводкаРасходов[Декабрь])</f>
        <v>0</v>
      </c>
      <c r="N64" s="8">
        <f>SUBTOTAL(109,СводкаРасходов[Итог])</f>
        <v>6049583230.5799999</v>
      </c>
      <c r="P64" s="32">
        <f>SUBTOTAL(109,СводкаРасходов[%])</f>
        <v>1</v>
      </c>
    </row>
    <row r="65" spans="1:16" s="22" customFormat="1" ht="20.25" customHeight="1" x14ac:dyDescent="0.4">
      <c r="C65" s="138">
        <f>+IFERROR(СводкаРасходов[[#Totals],[Февраль]]/СводкаРасходов[[#Totals],[Январь]],0)-1</f>
        <v>0.10077733564489688</v>
      </c>
      <c r="D65" s="138">
        <f>+IFERROR(СводкаРасходов[[#Totals],[Март]]/СводкаРасходов[[#Totals],[Февраль]],0)-1</f>
        <v>-0.66351254916475377</v>
      </c>
      <c r="E65" s="138">
        <f>+IFERROR(СводкаРасходов[[#Totals],[Апрель]]/СводкаРасходов[[#Totals],[Март]],0)-1</f>
        <v>-0.69576769518183457</v>
      </c>
      <c r="F65" s="138">
        <f>+IFERROR(СводкаРасходов[[#Totals],[Май]]/СводкаРасходов[[#Totals],[Апрель]],0)-1</f>
        <v>-6.7818650554672621E-2</v>
      </c>
      <c r="G65" s="138">
        <f>+IFERROR(СводкаРасходов[[#Totals],[Июнь]]/СводкаРасходов[[#Totals],[Май]],0)-1</f>
        <v>-0.70595386208996636</v>
      </c>
      <c r="H65" s="138">
        <f>+IFERROR(СводкаРасходов[[#Totals],[Июль]]/СводкаРасходов[[#Totals],[Июнь]],0)-1</f>
        <v>7.532039583581339</v>
      </c>
      <c r="I65" s="138">
        <f>IFERROR(СводкаРасходов[[#Totals],[Август]]/СводкаРасходов[[#Totals],[Июль]],0)-1</f>
        <v>4.4923687109786847</v>
      </c>
      <c r="J65" s="138">
        <f>IFERROR(СводкаРасходов[[#Totals],[Сентябрь]]/СводкаРасходов[[#Totals],[Август]],0)-1</f>
        <v>-7.7913068806722219E-2</v>
      </c>
      <c r="K65" s="138">
        <f>IFERROR(СводкаРасходов[[#Totals],[Октябрь]]/СводкаРасходов[[#Totals],[Сентябрь]],0)-1</f>
        <v>5.6523654473269236E-2</v>
      </c>
      <c r="L65" s="138">
        <f>IFERROR(СводкаРасходов[[#Totals],[Ноябрь]]/СводкаРасходов[[#Totals],[Октябрь]],0)-1</f>
        <v>-1</v>
      </c>
      <c r="M65" s="138">
        <f>IFERROR(СводкаРасходов[[#Totals],[Декабрь]]/СводкаРасходов[[#Totals],[Ноябрь]],0)-1</f>
        <v>-1</v>
      </c>
      <c r="N65" s="139"/>
    </row>
    <row r="66" spans="1:16" s="222" customFormat="1" ht="73.5" customHeight="1" x14ac:dyDescent="0.4">
      <c r="A66" s="22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139"/>
      <c r="O66" s="22"/>
      <c r="P66" s="22"/>
    </row>
    <row r="67" spans="1:16" ht="25.95" customHeight="1" x14ac:dyDescent="0.4">
      <c r="B67" s="2">
        <v>60</v>
      </c>
      <c r="C67" s="285">
        <v>90</v>
      </c>
    </row>
    <row r="68" spans="1:16" ht="16.8" x14ac:dyDescent="0.4">
      <c r="A68" s="21" t="s">
        <v>1599</v>
      </c>
      <c r="B68" s="21" t="s">
        <v>0</v>
      </c>
      <c r="C68" s="21" t="s">
        <v>1</v>
      </c>
      <c r="D68" s="21" t="s">
        <v>2</v>
      </c>
      <c r="E68" s="21" t="s">
        <v>3</v>
      </c>
      <c r="F68" s="21" t="s">
        <v>4</v>
      </c>
      <c r="G68" s="21" t="s">
        <v>5</v>
      </c>
      <c r="H68" s="21" t="s">
        <v>6</v>
      </c>
      <c r="I68" s="21" t="s">
        <v>7</v>
      </c>
      <c r="J68" s="21" t="s">
        <v>8</v>
      </c>
      <c r="K68" s="21" t="s">
        <v>9</v>
      </c>
      <c r="L68" s="21" t="s">
        <v>10</v>
      </c>
      <c r="M68" s="21" t="s">
        <v>11</v>
      </c>
      <c r="N68" s="21" t="s">
        <v>13</v>
      </c>
      <c r="O68" s="21" t="s">
        <v>12</v>
      </c>
      <c r="P68" s="21" t="s">
        <v>15</v>
      </c>
    </row>
    <row r="69" spans="1:16" ht="16.8" x14ac:dyDescent="0.4">
      <c r="A69" s="23" t="s">
        <v>43</v>
      </c>
      <c r="B69" s="5">
        <f>+SUMIF(янв!$I$5:$I$150,СводкаРасходов24[[#This Row],[Нерезидент]],янв!$L$5:$L$150)</f>
        <v>0</v>
      </c>
      <c r="C69" s="5">
        <f>+SUMIF(фев!$I$4:$I$126,СводкаРасходов24[[#This Row],[Нерезидент]],фев!$L$4:$L$126)</f>
        <v>0</v>
      </c>
      <c r="D69" s="5">
        <f>+SUMIFS(мар!$L$5:$L$74,мар!$D$5:$D$74,мар!$D$5,мар!$I$5:$I$74,СводкаРасходов24[[#This Row],[Нерезидент]])</f>
        <v>56504960</v>
      </c>
      <c r="E69" s="5">
        <f>+SUMIF(апр!$I$5:$I$24,СводкаРасходов24[[#This Row],[Нерезидент]],апр!$L$5:$L$24)</f>
        <v>0</v>
      </c>
      <c r="F69" s="5">
        <f>+SUMIFS(май!$L$2:$L$32,май!$D$2:$D$32,май!$D$9,май!$I$2:$I$32,СводкаРасходов24[[#This Row],[Нерезидент]])</f>
        <v>0</v>
      </c>
      <c r="G69" s="5"/>
      <c r="H69" s="5">
        <f>+SUMIFS(июл!$L$2:$L$44,июл!$D$2:$D$44,"Ne Rezident",июл!$I$2:$I$44,СводкаРасходов24[[#This Row],[Нерезидент]])</f>
        <v>0</v>
      </c>
      <c r="I69" s="5">
        <f>+SUMIFS(авг!$L$2:$L$191,авг!$D$2:$D$191,"Ne Rezident",авг!$I$2:$I$191,СводкаРасходов24[[#This Row],[Нерезидент]])</f>
        <v>0</v>
      </c>
      <c r="J69" s="5">
        <f>+SUMIFS(сен!$L$2:$L$173,сен!$D$2:$D$173,"Ne Rezident",сен!$I$2:$I$173,СводкаРасходов24[[#This Row],[Нерезидент]])</f>
        <v>125916654</v>
      </c>
      <c r="K69" s="5">
        <f>+SUMIFS(окт!$L$2:$L$267,окт!$D$2:$D$267,"Ne Rezident",окт!$I$2:$I$267,СводкаРасходов24[[#This Row],[Нерезидент]])</f>
        <v>0</v>
      </c>
      <c r="L69" s="5"/>
      <c r="M69" s="5"/>
      <c r="N69" s="5">
        <f>SUM(СводкаРасходов24[[#This Row],[Январь]:[Декабрь]])</f>
        <v>182421614</v>
      </c>
      <c r="O69" s="21"/>
      <c r="P69" s="155">
        <f>IFERROR(+СводкаРасходов24[[#This Row],[Итог]]/СводкаРасходов24[[#Totals],[Итог]],0)</f>
        <v>3.7610647068164957E-2</v>
      </c>
    </row>
    <row r="70" spans="1:16" ht="16.8" hidden="1" x14ac:dyDescent="0.4">
      <c r="A70" s="23" t="s">
        <v>44</v>
      </c>
      <c r="B70" s="5">
        <f>+SUMIF(янв!$I$5:$I$150,СводкаРасходов24[[#This Row],[Нерезидент]],янв!$L$5:$L$150)</f>
        <v>0</v>
      </c>
      <c r="C70" s="5">
        <f>+SUMIF(фев!$I$4:$I$126,СводкаРасходов24[[#This Row],[Нерезидент]],фев!$L$4:$L$126)</f>
        <v>0</v>
      </c>
      <c r="D70" s="5">
        <f>+SUMIFS(мар!$L$5:$L$74,мар!$D$5:$D$74,мар!$D$5,мар!$I$5:$I$74,СводкаРасходов24[[#This Row],[Нерезидент]])</f>
        <v>0</v>
      </c>
      <c r="E70" s="5">
        <f>+SUMIF(апр!$I$5:$I$24,СводкаРасходов24[[#This Row],[Нерезидент]],апр!$L$5:$L$24)</f>
        <v>0</v>
      </c>
      <c r="F70" s="5">
        <f>+SUMIFS(май!$L$2:$L$32,май!$D$2:$D$32,май!$D$9,май!$I$2:$I$32,СводкаРасходов24[[#This Row],[Нерезидент]])</f>
        <v>0</v>
      </c>
      <c r="G70" s="5"/>
      <c r="H70" s="5">
        <f>+SUMIFS(июл!$L$2:$L$44,июл!$D$2:$D$44,"Ne Rezident",июл!$I$2:$I$44,СводкаРасходов24[[#This Row],[Нерезидент]])</f>
        <v>0</v>
      </c>
      <c r="I70" s="5">
        <f>+SUMIFS(авг!$L$2:$L$191,авг!$D$2:$D$191,"Ne Rezident",авг!$I$2:$I$191,СводкаРасходов24[[#This Row],[Нерезидент]])</f>
        <v>0</v>
      </c>
      <c r="J70" s="5">
        <f>+SUMIFS(сен!$L$2:$L$173,сен!$D$2:$D$173,"Ne Rezident",сен!$I$2:$I$173,СводкаРасходов24[[#This Row],[Нерезидент]])</f>
        <v>0</v>
      </c>
      <c r="K70" s="5">
        <f>+SUMIFS(окт!$L$2:$L$267,окт!$D$2:$D$267,"Ne Rezident",окт!$I$2:$I$267,СводкаРасходов24[[#This Row],[Нерезидент]])</f>
        <v>0</v>
      </c>
      <c r="L70" s="5"/>
      <c r="M70" s="5"/>
      <c r="N70" s="5">
        <f>SUM(СводкаРасходов24[[#This Row],[Январь]:[Декабрь]])</f>
        <v>0</v>
      </c>
      <c r="O70" s="21"/>
      <c r="P70" s="155">
        <f>IFERROR(+СводкаРасходов24[[#This Row],[Итог]]/СводкаРасходов24[[#Totals],[Итог]],0)</f>
        <v>0</v>
      </c>
    </row>
    <row r="71" spans="1:16" ht="16.8" hidden="1" x14ac:dyDescent="0.4">
      <c r="A71" s="23" t="s">
        <v>45</v>
      </c>
      <c r="B71" s="5">
        <f>+SUMIF(янв!$I$5:$I$150,СводкаРасходов24[[#This Row],[Нерезидент]],янв!$L$5:$L$150)</f>
        <v>0</v>
      </c>
      <c r="C71" s="5">
        <f>+SUMIF(фев!$I$4:$I$126,СводкаРасходов24[[#This Row],[Нерезидент]],фев!$L$4:$L$126)</f>
        <v>0</v>
      </c>
      <c r="D71" s="5">
        <f>+SUMIFS(мар!$L$5:$L$74,мар!$D$5:$D$74,мар!$D$5,мар!$I$5:$I$74,СводкаРасходов24[[#This Row],[Нерезидент]])</f>
        <v>0</v>
      </c>
      <c r="E71" s="5">
        <f>+SUMIF(апр!$I$5:$I$24,СводкаРасходов24[[#This Row],[Нерезидент]],апр!$L$5:$L$24)</f>
        <v>0</v>
      </c>
      <c r="F71" s="5">
        <f>+SUMIFS(май!$L$2:$L$32,май!$D$2:$D$32,май!$D$9,май!$I$2:$I$32,СводкаРасходов24[[#This Row],[Нерезидент]])</f>
        <v>0</v>
      </c>
      <c r="G71" s="5"/>
      <c r="H71" s="5">
        <f>+SUMIFS(июл!$L$2:$L$44,июл!$D$2:$D$44,"Ne Rezident",июл!$I$2:$I$44,СводкаРасходов24[[#This Row],[Нерезидент]])</f>
        <v>0</v>
      </c>
      <c r="I71" s="5">
        <f>+SUMIFS(авг!$L$2:$L$191,авг!$D$2:$D$191,"Ne Rezident",авг!$I$2:$I$191,СводкаРасходов24[[#This Row],[Нерезидент]])</f>
        <v>0</v>
      </c>
      <c r="J71" s="5">
        <f>+SUMIFS(сен!$L$2:$L$173,сен!$D$2:$D$173,"Ne Rezident",сен!$I$2:$I$173,СводкаРасходов24[[#This Row],[Нерезидент]])</f>
        <v>0</v>
      </c>
      <c r="K71" s="5">
        <f>+SUMIFS(окт!$L$2:$L$267,окт!$D$2:$D$267,"Ne Rezident",окт!$I$2:$I$267,СводкаРасходов24[[#This Row],[Нерезидент]])</f>
        <v>0</v>
      </c>
      <c r="L71" s="5"/>
      <c r="M71" s="5"/>
      <c r="N71" s="5">
        <f>SUM(СводкаРасходов24[[#This Row],[Январь]:[Декабрь]])</f>
        <v>0</v>
      </c>
      <c r="O71" s="21"/>
      <c r="P71" s="155">
        <f>IFERROR(+СводкаРасходов24[[#This Row],[Итог]]/СводкаРасходов24[[#Totals],[Итог]],0)</f>
        <v>0</v>
      </c>
    </row>
    <row r="72" spans="1:16" ht="16.8" hidden="1" x14ac:dyDescent="0.4">
      <c r="A72" s="23" t="s">
        <v>46</v>
      </c>
      <c r="B72" s="5">
        <f>+SUMIF(янв!$I$5:$I$150,СводкаРасходов24[[#This Row],[Нерезидент]],янв!$L$5:$L$150)</f>
        <v>0</v>
      </c>
      <c r="C72" s="5">
        <f>+SUMIF(фев!$I$4:$I$126,СводкаРасходов24[[#This Row],[Нерезидент]],фев!$L$4:$L$126)</f>
        <v>0</v>
      </c>
      <c r="D72" s="5">
        <f>+SUMIFS(мар!$L$5:$L$74,мар!$D$5:$D$74,мар!$D$5,мар!$I$5:$I$74,СводкаРасходов24[[#This Row],[Нерезидент]])</f>
        <v>0</v>
      </c>
      <c r="E72" s="5">
        <f>+SUMIF(апр!$I$5:$I$24,СводкаРасходов24[[#This Row],[Нерезидент]],апр!$L$5:$L$24)</f>
        <v>0</v>
      </c>
      <c r="F72" s="5">
        <f>+SUMIFS(май!$L$2:$L$32,май!$D$2:$D$32,май!$D$9,май!$I$2:$I$32,СводкаРасходов24[[#This Row],[Нерезидент]])</f>
        <v>0</v>
      </c>
      <c r="G72" s="5"/>
      <c r="H72" s="5">
        <f>+SUMIFS(июл!$L$2:$L$44,июл!$D$2:$D$44,"Ne Rezident",июл!$I$2:$I$44,СводкаРасходов24[[#This Row],[Нерезидент]])</f>
        <v>0</v>
      </c>
      <c r="I72" s="5">
        <f>+SUMIFS(авг!$L$2:$L$191,авг!$D$2:$D$191,"Ne Rezident",авг!$I$2:$I$191,СводкаРасходов24[[#This Row],[Нерезидент]])</f>
        <v>0</v>
      </c>
      <c r="J72" s="5">
        <f>+SUMIFS(сен!$L$2:$L$173,сен!$D$2:$D$173,"Ne Rezident",сен!$I$2:$I$173,СводкаРасходов24[[#This Row],[Нерезидент]])</f>
        <v>0</v>
      </c>
      <c r="K72" s="5">
        <f>+SUMIFS(окт!$L$2:$L$267,окт!$D$2:$D$267,"Ne Rezident",окт!$I$2:$I$267,СводкаРасходов24[[#This Row],[Нерезидент]])</f>
        <v>0</v>
      </c>
      <c r="L72" s="5"/>
      <c r="M72" s="5"/>
      <c r="N72" s="5">
        <f>SUM(СводкаРасходов24[[#This Row],[Январь]:[Декабрь]])</f>
        <v>0</v>
      </c>
      <c r="O72" s="21"/>
      <c r="P72" s="155">
        <f>IFERROR(+СводкаРасходов24[[#This Row],[Итог]]/СводкаРасходов24[[#Totals],[Итог]],0)</f>
        <v>0</v>
      </c>
    </row>
    <row r="73" spans="1:16" ht="16.8" hidden="1" x14ac:dyDescent="0.4">
      <c r="A73" s="23" t="s">
        <v>47</v>
      </c>
      <c r="B73" s="5">
        <f>+SUMIF(янв!$I$5:$I$150,СводкаРасходов24[[#This Row],[Нерезидент]],янв!$L$5:$L$150)</f>
        <v>0</v>
      </c>
      <c r="C73" s="5">
        <f>+SUMIF(фев!$I$4:$I$126,СводкаРасходов24[[#This Row],[Нерезидент]],фев!$L$4:$L$126)</f>
        <v>0</v>
      </c>
      <c r="D73" s="5">
        <f>+SUMIFS(мар!$L$5:$L$74,мар!$D$5:$D$74,мар!$D$5,мар!$I$5:$I$74,СводкаРасходов24[[#This Row],[Нерезидент]])</f>
        <v>0</v>
      </c>
      <c r="E73" s="5">
        <f>+SUMIF(апр!$I$5:$I$24,СводкаРасходов24[[#This Row],[Нерезидент]],апр!$L$5:$L$24)</f>
        <v>0</v>
      </c>
      <c r="F73" s="5">
        <f>+SUMIFS(май!$L$2:$L$32,май!$D$2:$D$32,май!$D$9,май!$I$2:$I$32,СводкаРасходов24[[#This Row],[Нерезидент]])</f>
        <v>0</v>
      </c>
      <c r="G73" s="5"/>
      <c r="H73" s="5">
        <f>+SUMIFS(июл!$L$2:$L$44,июл!$D$2:$D$44,"Ne Rezident",июл!$I$2:$I$44,СводкаРасходов24[[#This Row],[Нерезидент]])</f>
        <v>0</v>
      </c>
      <c r="I73" s="5">
        <f>+SUMIFS(авг!$L$2:$L$191,авг!$D$2:$D$191,"Ne Rezident",авг!$I$2:$I$191,СводкаРасходов24[[#This Row],[Нерезидент]])</f>
        <v>0</v>
      </c>
      <c r="J73" s="5">
        <f>+SUMIFS(сен!$L$2:$L$173,сен!$D$2:$D$173,"Ne Rezident",сен!$I$2:$I$173,СводкаРасходов24[[#This Row],[Нерезидент]])</f>
        <v>0</v>
      </c>
      <c r="K73" s="5">
        <f>+SUMIFS(окт!$L$2:$L$267,окт!$D$2:$D$267,"Ne Rezident",окт!$I$2:$I$267,СводкаРасходов24[[#This Row],[Нерезидент]])</f>
        <v>0</v>
      </c>
      <c r="L73" s="5"/>
      <c r="M73" s="5"/>
      <c r="N73" s="5">
        <f>SUM(СводкаРасходов24[[#This Row],[Январь]:[Декабрь]])</f>
        <v>0</v>
      </c>
      <c r="O73" s="21"/>
      <c r="P73" s="155">
        <f>IFERROR(+СводкаРасходов24[[#This Row],[Итог]]/СводкаРасходов24[[#Totals],[Итог]],0)</f>
        <v>0</v>
      </c>
    </row>
    <row r="74" spans="1:16" ht="16.8" hidden="1" x14ac:dyDescent="0.4">
      <c r="A74" s="23" t="s">
        <v>48</v>
      </c>
      <c r="B74" s="5">
        <f>+SUMIF(янв!$I$5:$I$150,СводкаРасходов24[[#This Row],[Нерезидент]],янв!$L$5:$L$150)</f>
        <v>0</v>
      </c>
      <c r="C74" s="5">
        <f>+SUMIF(фев!$I$4:$I$126,СводкаРасходов24[[#This Row],[Нерезидент]],фев!$L$4:$L$126)</f>
        <v>0</v>
      </c>
      <c r="D74" s="5">
        <f>+SUMIFS(мар!$L$5:$L$74,мар!$D$5:$D$74,мар!$D$5,мар!$I$5:$I$74,СводкаРасходов24[[#This Row],[Нерезидент]])</f>
        <v>0</v>
      </c>
      <c r="E74" s="5">
        <f>+SUMIF(апр!$I$5:$I$24,СводкаРасходов24[[#This Row],[Нерезидент]],апр!$L$5:$L$24)</f>
        <v>0</v>
      </c>
      <c r="F74" s="5">
        <f>+SUMIFS(май!$L$2:$L$32,май!$D$2:$D$32,май!$D$9,май!$I$2:$I$32,СводкаРасходов24[[#This Row],[Нерезидент]])</f>
        <v>0</v>
      </c>
      <c r="G74" s="5"/>
      <c r="H74" s="5">
        <f>+SUMIFS(июл!$L$2:$L$44,июл!$D$2:$D$44,"Ne Rezident",июл!$I$2:$I$44,СводкаРасходов24[[#This Row],[Нерезидент]])</f>
        <v>0</v>
      </c>
      <c r="I74" s="5">
        <f>+SUMIFS(авг!$L$2:$L$191,авг!$D$2:$D$191,"Ne Rezident",авг!$I$2:$I$191,СводкаРасходов24[[#This Row],[Нерезидент]])</f>
        <v>0</v>
      </c>
      <c r="J74" s="5">
        <f>+SUMIFS(сен!$L$2:$L$173,сен!$D$2:$D$173,"Ne Rezident",сен!$I$2:$I$173,СводкаРасходов24[[#This Row],[Нерезидент]])</f>
        <v>0</v>
      </c>
      <c r="K74" s="5">
        <f>+SUMIFS(окт!$L$2:$L$267,окт!$D$2:$D$267,"Ne Rezident",окт!$I$2:$I$267,СводкаРасходов24[[#This Row],[Нерезидент]])</f>
        <v>0</v>
      </c>
      <c r="L74" s="5"/>
      <c r="M74" s="5"/>
      <c r="N74" s="5">
        <f>SUM(СводкаРасходов24[[#This Row],[Январь]:[Декабрь]])</f>
        <v>0</v>
      </c>
      <c r="O74" s="21"/>
      <c r="P74" s="155">
        <f>IFERROR(+СводкаРасходов24[[#This Row],[Итог]]/СводкаРасходов24[[#Totals],[Итог]],0)</f>
        <v>0</v>
      </c>
    </row>
    <row r="75" spans="1:16" ht="16.8" hidden="1" x14ac:dyDescent="0.4">
      <c r="A75" s="23" t="s">
        <v>49</v>
      </c>
      <c r="B75" s="5">
        <f>+SUMIF(янв!$I$5:$I$150,СводкаРасходов24[[#This Row],[Нерезидент]],янв!$L$5:$L$150)</f>
        <v>0</v>
      </c>
      <c r="C75" s="5">
        <f>+SUMIF(фев!$I$4:$I$126,СводкаРасходов24[[#This Row],[Нерезидент]],фев!$L$4:$L$126)</f>
        <v>0</v>
      </c>
      <c r="D75" s="5">
        <f>+SUMIFS(мар!$L$5:$L$74,мар!$D$5:$D$74,мар!$D$5,мар!$I$5:$I$74,СводкаРасходов24[[#This Row],[Нерезидент]])</f>
        <v>0</v>
      </c>
      <c r="E75" s="5">
        <f>+SUMIF(апр!$I$5:$I$24,СводкаРасходов24[[#This Row],[Нерезидент]],апр!$L$5:$L$24)</f>
        <v>0</v>
      </c>
      <c r="F75" s="5">
        <f>+SUMIFS(май!$L$2:$L$32,май!$D$2:$D$32,май!$D$9,май!$I$2:$I$32,СводкаРасходов24[[#This Row],[Нерезидент]])</f>
        <v>0</v>
      </c>
      <c r="G75" s="5"/>
      <c r="H75" s="5">
        <f>+SUMIFS(июл!$L$2:$L$44,июл!$D$2:$D$44,"Ne Rezident",июл!$I$2:$I$44,СводкаРасходов24[[#This Row],[Нерезидент]])</f>
        <v>0</v>
      </c>
      <c r="I75" s="5">
        <f>+SUMIFS(авг!$L$2:$L$191,авг!$D$2:$D$191,"Ne Rezident",авг!$I$2:$I$191,СводкаРасходов24[[#This Row],[Нерезидент]])</f>
        <v>0</v>
      </c>
      <c r="J75" s="5">
        <f>+SUMIFS(сен!$L$2:$L$173,сен!$D$2:$D$173,"Ne Rezident",сен!$I$2:$I$173,СводкаРасходов24[[#This Row],[Нерезидент]])</f>
        <v>0</v>
      </c>
      <c r="K75" s="5">
        <f>+SUMIFS(окт!$L$2:$L$267,окт!$D$2:$D$267,"Ne Rezident",окт!$I$2:$I$267,СводкаРасходов24[[#This Row],[Нерезидент]])</f>
        <v>0</v>
      </c>
      <c r="L75" s="5"/>
      <c r="M75" s="5"/>
      <c r="N75" s="5">
        <f>SUM(СводкаРасходов24[[#This Row],[Январь]:[Декабрь]])</f>
        <v>0</v>
      </c>
      <c r="O75" s="21"/>
      <c r="P75" s="155">
        <f>IFERROR(+СводкаРасходов24[[#This Row],[Итог]]/СводкаРасходов24[[#Totals],[Итог]],0)</f>
        <v>0</v>
      </c>
    </row>
    <row r="76" spans="1:16" ht="16.8" hidden="1" x14ac:dyDescent="0.4">
      <c r="A76" s="23" t="s">
        <v>50</v>
      </c>
      <c r="B76" s="5">
        <f>+SUMIF(янв!$I$5:$I$150,СводкаРасходов24[[#This Row],[Нерезидент]],янв!$L$5:$L$150)</f>
        <v>0</v>
      </c>
      <c r="C76" s="5">
        <f>+SUMIF(фев!$I$4:$I$126,СводкаРасходов24[[#This Row],[Нерезидент]],фев!$L$4:$L$126)</f>
        <v>0</v>
      </c>
      <c r="D76" s="5">
        <f>+SUMIFS(мар!$L$5:$L$74,мар!$D$5:$D$74,мар!$D$5,мар!$I$5:$I$74,СводкаРасходов24[[#This Row],[Нерезидент]])</f>
        <v>0</v>
      </c>
      <c r="E76" s="5">
        <f>+SUMIF(апр!$I$5:$I$24,СводкаРасходов24[[#This Row],[Нерезидент]],апр!$L$5:$L$24)</f>
        <v>0</v>
      </c>
      <c r="F76" s="5">
        <f>+SUMIFS(май!$L$2:$L$32,май!$D$2:$D$32,май!$D$9,май!$I$2:$I$32,СводкаРасходов24[[#This Row],[Нерезидент]])</f>
        <v>0</v>
      </c>
      <c r="G76" s="5"/>
      <c r="H76" s="5">
        <f>+SUMIFS(июл!$L$2:$L$44,июл!$D$2:$D$44,"Ne Rezident",июл!$I$2:$I$44,СводкаРасходов24[[#This Row],[Нерезидент]])</f>
        <v>0</v>
      </c>
      <c r="I76" s="5">
        <f>+SUMIFS(авг!$L$2:$L$191,авг!$D$2:$D$191,"Ne Rezident",авг!$I$2:$I$191,СводкаРасходов24[[#This Row],[Нерезидент]])</f>
        <v>0</v>
      </c>
      <c r="J76" s="5">
        <f>+SUMIFS(сен!$L$2:$L$173,сен!$D$2:$D$173,"Ne Rezident",сен!$I$2:$I$173,СводкаРасходов24[[#This Row],[Нерезидент]])</f>
        <v>0</v>
      </c>
      <c r="K76" s="5">
        <f>+SUMIFS(окт!$L$2:$L$267,окт!$D$2:$D$267,"Ne Rezident",окт!$I$2:$I$267,СводкаРасходов24[[#This Row],[Нерезидент]])</f>
        <v>0</v>
      </c>
      <c r="L76" s="5"/>
      <c r="M76" s="5"/>
      <c r="N76" s="5">
        <f>SUM(СводкаРасходов24[[#This Row],[Январь]:[Декабрь]])</f>
        <v>0</v>
      </c>
      <c r="O76" s="21"/>
      <c r="P76" s="155">
        <f>IFERROR(+СводкаРасходов24[[#This Row],[Итог]]/СводкаРасходов24[[#Totals],[Итог]],0)</f>
        <v>0</v>
      </c>
    </row>
    <row r="77" spans="1:16" ht="16.8" x14ac:dyDescent="0.4">
      <c r="A77" s="23" t="s">
        <v>51</v>
      </c>
      <c r="B77" s="5">
        <f>+SUMIF(янв!$I$5:$I$150,СводкаРасходов24[[#This Row],[Нерезидент]],янв!$L$5:$L$150)</f>
        <v>14924718</v>
      </c>
      <c r="C77" s="5">
        <f>+SUMIF(фев!$I$4:$I$126,СводкаРасходов24[[#This Row],[Нерезидент]],фев!$L$4:$L$126)</f>
        <v>0</v>
      </c>
      <c r="D77" s="5">
        <f>+SUMIFS(мар!$L$5:$L$74,мар!$D$5:$D$74,мар!$D$5,мар!$I$5:$I$74,СводкаРасходов24[[#This Row],[Нерезидент]])</f>
        <v>0</v>
      </c>
      <c r="E77" s="5">
        <f>+SUMIF(апр!$I$5:$I$24,СводкаРасходов24[[#This Row],[Нерезидент]],апр!$L$5:$L$24)</f>
        <v>0</v>
      </c>
      <c r="F77" s="5">
        <f>+SUMIFS(май!$L$2:$L$32,май!$D$2:$D$32,май!$D$9,май!$I$2:$I$32,СводкаРасходов24[[#This Row],[Нерезидент]])</f>
        <v>0</v>
      </c>
      <c r="G77" s="5"/>
      <c r="H77" s="5">
        <f>+SUMIFS(июл!$L$2:$L$44,июл!$D$2:$D$44,"Ne Rezident",июл!$I$2:$I$44,СводкаРасходов24[[#This Row],[Нерезидент]])</f>
        <v>0</v>
      </c>
      <c r="I77" s="5">
        <f>+SUMIFS(авг!$L$2:$L$191,авг!$D$2:$D$191,"Ne Rezident",авг!$I$2:$I$191,СводкаРасходов24[[#This Row],[Нерезидент]])</f>
        <v>0</v>
      </c>
      <c r="J77" s="5">
        <f>+SUMIFS(сен!$L$2:$L$173,сен!$D$2:$D$173,"Ne Rezident",сен!$I$2:$I$173,СводкаРасходов24[[#This Row],[Нерезидент]])</f>
        <v>39374842</v>
      </c>
      <c r="K77" s="5">
        <f>+SUMIFS(окт!$L$2:$L$267,окт!$D$2:$D$267,"Ne Rezident",окт!$I$2:$I$267,СводкаРасходов24[[#This Row],[Нерезидент]])</f>
        <v>24930196</v>
      </c>
      <c r="L77" s="5"/>
      <c r="M77" s="5"/>
      <c r="N77" s="5">
        <f>SUM(СводкаРасходов24[[#This Row],[Январь]:[Декабрь]])</f>
        <v>79229756</v>
      </c>
      <c r="O77" s="21"/>
      <c r="P77" s="155">
        <f>IFERROR(+СводкаРасходов24[[#This Row],[Итог]]/СводкаРасходов24[[#Totals],[Итог]],0)</f>
        <v>1.6335138829617114E-2</v>
      </c>
    </row>
    <row r="78" spans="1:16" ht="16.8" hidden="1" x14ac:dyDescent="0.4">
      <c r="A78" s="23" t="s">
        <v>52</v>
      </c>
      <c r="B78" s="5">
        <f>+SUMIF(янв!$I$5:$I$150,СводкаРасходов24[[#This Row],[Нерезидент]],янв!$L$5:$L$150)</f>
        <v>0</v>
      </c>
      <c r="C78" s="5">
        <f>+SUMIF(фев!$I$4:$I$126,СводкаРасходов24[[#This Row],[Нерезидент]],фев!$L$4:$L$126)</f>
        <v>0</v>
      </c>
      <c r="D78" s="5">
        <f>+SUMIFS(мар!$L$5:$L$74,мар!$D$5:$D$74,мар!$D$5,мар!$I$5:$I$74,СводкаРасходов24[[#This Row],[Нерезидент]])</f>
        <v>0</v>
      </c>
      <c r="E78" s="5">
        <f>+SUMIF(апр!$I$5:$I$24,СводкаРасходов24[[#This Row],[Нерезидент]],апр!$L$5:$L$24)</f>
        <v>0</v>
      </c>
      <c r="F78" s="5">
        <f>+SUMIFS(май!$L$2:$L$32,май!$D$2:$D$32,май!$D$9,май!$I$2:$I$32,СводкаРасходов24[[#This Row],[Нерезидент]])</f>
        <v>0</v>
      </c>
      <c r="G78" s="5"/>
      <c r="H78" s="5">
        <f>+SUMIFS(июл!$L$2:$L$44,июл!$D$2:$D$44,"Ne Rezident",июл!$I$2:$I$44,СводкаРасходов24[[#This Row],[Нерезидент]])</f>
        <v>0</v>
      </c>
      <c r="I78" s="5">
        <f>+SUMIFS(авг!$L$2:$L$191,авг!$D$2:$D$191,"Ne Rezident",авг!$I$2:$I$191,СводкаРасходов24[[#This Row],[Нерезидент]])</f>
        <v>0</v>
      </c>
      <c r="J78" s="5">
        <f>+SUMIFS(сен!$L$2:$L$173,сен!$D$2:$D$173,"Ne Rezident",сен!$I$2:$I$173,СводкаРасходов24[[#This Row],[Нерезидент]])</f>
        <v>0</v>
      </c>
      <c r="K78" s="5">
        <f>+SUMIFS(окт!$L$2:$L$267,окт!$D$2:$D$267,"Ne Rezident",окт!$I$2:$I$267,СводкаРасходов24[[#This Row],[Нерезидент]])</f>
        <v>0</v>
      </c>
      <c r="L78" s="5"/>
      <c r="M78" s="5"/>
      <c r="N78" s="5">
        <f>SUM(СводкаРасходов24[[#This Row],[Январь]:[Декабрь]])</f>
        <v>0</v>
      </c>
      <c r="O78" s="21"/>
      <c r="P78" s="155">
        <f>IFERROR(+СводкаРасходов24[[#This Row],[Итог]]/СводкаРасходов24[[#Totals],[Итог]],0)</f>
        <v>0</v>
      </c>
    </row>
    <row r="79" spans="1:16" ht="16.8" hidden="1" x14ac:dyDescent="0.4">
      <c r="A79" s="23" t="s">
        <v>53</v>
      </c>
      <c r="B79" s="5">
        <f>+SUMIF(янв!$I$5:$I$150,СводкаРасходов24[[#This Row],[Нерезидент]],янв!$L$5:$L$150)</f>
        <v>0</v>
      </c>
      <c r="C79" s="5">
        <f>+SUMIF(фев!$I$4:$I$126,СводкаРасходов24[[#This Row],[Нерезидент]],фев!$L$4:$L$126)</f>
        <v>0</v>
      </c>
      <c r="D79" s="5">
        <f>+SUMIFS(мар!$L$5:$L$74,мар!$D$5:$D$74,мар!$D$5,мар!$I$5:$I$74,СводкаРасходов24[[#This Row],[Нерезидент]])</f>
        <v>0</v>
      </c>
      <c r="E79" s="5">
        <f>+SUMIF(апр!$I$5:$I$24,СводкаРасходов24[[#This Row],[Нерезидент]],апр!$L$5:$L$24)</f>
        <v>0</v>
      </c>
      <c r="F79" s="5">
        <f>+SUMIFS(май!$L$2:$L$32,май!$D$2:$D$32,май!$D$9,май!$I$2:$I$32,СводкаРасходов24[[#This Row],[Нерезидент]])</f>
        <v>0</v>
      </c>
      <c r="G79" s="5"/>
      <c r="H79" s="5">
        <f>+SUMIFS(июл!$L$2:$L$44,июл!$D$2:$D$44,"Ne Rezident",июл!$I$2:$I$44,СводкаРасходов24[[#This Row],[Нерезидент]])</f>
        <v>0</v>
      </c>
      <c r="I79" s="5">
        <f>+SUMIFS(авг!$L$2:$L$191,авг!$D$2:$D$191,"Ne Rezident",авг!$I$2:$I$191,СводкаРасходов24[[#This Row],[Нерезидент]])</f>
        <v>0</v>
      </c>
      <c r="J79" s="5">
        <f>+SUMIFS(сен!$L$2:$L$173,сен!$D$2:$D$173,"Ne Rezident",сен!$I$2:$I$173,СводкаРасходов24[[#This Row],[Нерезидент]])</f>
        <v>0</v>
      </c>
      <c r="K79" s="5">
        <f>+SUMIFS(окт!$L$2:$L$267,окт!$D$2:$D$267,"Ne Rezident",окт!$I$2:$I$267,СводкаРасходов24[[#This Row],[Нерезидент]])</f>
        <v>0</v>
      </c>
      <c r="L79" s="5"/>
      <c r="M79" s="5"/>
      <c r="N79" s="5">
        <f>SUM(СводкаРасходов24[[#This Row],[Январь]:[Декабрь]])</f>
        <v>0</v>
      </c>
      <c r="O79" s="21"/>
      <c r="P79" s="155">
        <f>IFERROR(+СводкаРасходов24[[#This Row],[Итог]]/СводкаРасходов24[[#Totals],[Итог]],0)</f>
        <v>0</v>
      </c>
    </row>
    <row r="80" spans="1:16" ht="16.8" x14ac:dyDescent="0.4">
      <c r="A80" s="23" t="s">
        <v>54</v>
      </c>
      <c r="B80" s="5">
        <f>+SUMIF(янв!$I$5:$I$150,СводкаРасходов24[[#This Row],[Нерезидент]],янв!$L$5:$L$150)</f>
        <v>43955449</v>
      </c>
      <c r="C80" s="5">
        <f>+SUMIF(фев!$I$4:$I$126,СводкаРасходов24[[#This Row],[Нерезидент]],фев!$L$4:$L$126)</f>
        <v>95614842</v>
      </c>
      <c r="D80" s="5">
        <f>+SUMIFS(мар!$L$5:$L$74,мар!$D$5:$D$74,мар!$D$5,мар!$I$5:$I$74,СводкаРасходов24[[#This Row],[Нерезидент]])</f>
        <v>0</v>
      </c>
      <c r="E80" s="5">
        <f>+SUMIF(апр!$I$5:$I$24,СводкаРасходов24[[#This Row],[Нерезидент]],апр!$L$5:$L$24)</f>
        <v>0</v>
      </c>
      <c r="F80" s="5">
        <f>+SUMIFS(май!$L$2:$L$32,май!$D$2:$D$32,май!$D$9,май!$I$2:$I$32,СводкаРасходов24[[#This Row],[Нерезидент]])</f>
        <v>0</v>
      </c>
      <c r="G80" s="5"/>
      <c r="H80" s="5">
        <f>+SUMIFS(июл!$L$2:$L$44,июл!$D$2:$D$44,"Ne Rezident",июл!$I$2:$I$44,СводкаРасходов24[[#This Row],[Нерезидент]])</f>
        <v>0</v>
      </c>
      <c r="I80" s="5">
        <f>+SUMIFS(авг!$L$2:$L$191,авг!$D$2:$D$191,"Ne Rezident",авг!$I$2:$I$191,СводкаРасходов24[[#This Row],[Нерезидент]])</f>
        <v>0</v>
      </c>
      <c r="J80" s="5">
        <f>+SUMIFS(сен!$L$2:$L$173,сен!$D$2:$D$173,"Ne Rezident",сен!$I$2:$I$173,СводкаРасходов24[[#This Row],[Нерезидент]])</f>
        <v>0</v>
      </c>
      <c r="K80" s="5">
        <f>+SUMIFS(окт!$L$2:$L$267,окт!$D$2:$D$267,"Ne Rezident",окт!$I$2:$I$267,СводкаРасходов24[[#This Row],[Нерезидент]])</f>
        <v>0</v>
      </c>
      <c r="L80" s="5"/>
      <c r="M80" s="5"/>
      <c r="N80" s="5">
        <f>SUM(СводкаРасходов24[[#This Row],[Январь]:[Декабрь]])</f>
        <v>139570291</v>
      </c>
      <c r="O80" s="21"/>
      <c r="P80" s="155">
        <f>IFERROR(+СводкаРасходов24[[#This Row],[Итог]]/СводкаРасходов24[[#Totals],[Итог]],0)</f>
        <v>2.8775805897661228E-2</v>
      </c>
    </row>
    <row r="81" spans="1:16" ht="16.8" hidden="1" x14ac:dyDescent="0.4">
      <c r="A81" s="23" t="s">
        <v>55</v>
      </c>
      <c r="B81" s="5">
        <f>+SUMIF(янв!$I$5:$I$150,СводкаРасходов24[[#This Row],[Нерезидент]],янв!$L$5:$L$150)</f>
        <v>0</v>
      </c>
      <c r="C81" s="5">
        <f>+SUMIF(фев!$I$4:$I$126,СводкаРасходов24[[#This Row],[Нерезидент]],фев!$L$4:$L$126)</f>
        <v>0</v>
      </c>
      <c r="D81" s="5">
        <f>+SUMIFS(мар!$L$5:$L$74,мар!$D$5:$D$74,мар!$D$5,мар!$I$5:$I$74,СводкаРасходов24[[#This Row],[Нерезидент]])</f>
        <v>0</v>
      </c>
      <c r="E81" s="5">
        <f>+SUMIF(апр!$I$5:$I$24,СводкаРасходов24[[#This Row],[Нерезидент]],апр!$L$5:$L$24)</f>
        <v>0</v>
      </c>
      <c r="F81" s="5">
        <f>+SUMIFS(май!$L$2:$L$32,май!$D$2:$D$32,май!$D$9,май!$I$2:$I$32,СводкаРасходов24[[#This Row],[Нерезидент]])</f>
        <v>0</v>
      </c>
      <c r="G81" s="5"/>
      <c r="H81" s="5">
        <f>+SUMIFS(июл!$L$2:$L$44,июл!$D$2:$D$44,"Ne Rezident",июл!$I$2:$I$44,СводкаРасходов24[[#This Row],[Нерезидент]])</f>
        <v>0</v>
      </c>
      <c r="I81" s="5">
        <f>+SUMIFS(авг!$L$2:$L$191,авг!$D$2:$D$191,"Ne Rezident",авг!$I$2:$I$191,СводкаРасходов24[[#This Row],[Нерезидент]])</f>
        <v>0</v>
      </c>
      <c r="J81" s="5">
        <f>+SUMIFS(сен!$L$2:$L$173,сен!$D$2:$D$173,"Ne Rezident",сен!$I$2:$I$173,СводкаРасходов24[[#This Row],[Нерезидент]])</f>
        <v>0</v>
      </c>
      <c r="K81" s="5">
        <f>+SUMIFS(окт!$L$2:$L$267,окт!$D$2:$D$267,"Ne Rezident",окт!$I$2:$I$267,СводкаРасходов24[[#This Row],[Нерезидент]])</f>
        <v>0</v>
      </c>
      <c r="L81" s="5"/>
      <c r="M81" s="5"/>
      <c r="N81" s="5">
        <f>SUM(СводкаРасходов24[[#This Row],[Январь]:[Декабрь]])</f>
        <v>0</v>
      </c>
      <c r="O81" s="21"/>
      <c r="P81" s="155">
        <f>IFERROR(+СводкаРасходов24[[#This Row],[Итог]]/СводкаРасходов24[[#Totals],[Итог]],0)</f>
        <v>0</v>
      </c>
    </row>
    <row r="82" spans="1:16" ht="16.8" hidden="1" x14ac:dyDescent="0.4">
      <c r="A82" s="23" t="s">
        <v>56</v>
      </c>
      <c r="B82" s="5">
        <f>+SUMIF(янв!$I$5:$I$150,СводкаРасходов24[[#This Row],[Нерезидент]],янв!$L$5:$L$150)</f>
        <v>0</v>
      </c>
      <c r="C82" s="5">
        <f>+SUMIF(фев!$I$4:$I$126,СводкаРасходов24[[#This Row],[Нерезидент]],фев!$L$4:$L$126)</f>
        <v>0</v>
      </c>
      <c r="D82" s="5">
        <f>+SUMIFS(мар!$L$5:$L$74,мар!$D$5:$D$74,мар!$D$5,мар!$I$5:$I$74,СводкаРасходов24[[#This Row],[Нерезидент]])</f>
        <v>0</v>
      </c>
      <c r="E82" s="5">
        <f>+SUMIF(апр!$I$5:$I$24,СводкаРасходов24[[#This Row],[Нерезидент]],апр!$L$5:$L$24)</f>
        <v>0</v>
      </c>
      <c r="F82" s="5">
        <f>+SUMIFS(май!$L$2:$L$32,май!$D$2:$D$32,май!$D$9,май!$I$2:$I$32,СводкаРасходов24[[#This Row],[Нерезидент]])</f>
        <v>0</v>
      </c>
      <c r="G82" s="5"/>
      <c r="H82" s="5">
        <f>+SUMIFS(июл!$L$2:$L$44,июл!$D$2:$D$44,"Ne Rezident",июл!$I$2:$I$44,СводкаРасходов24[[#This Row],[Нерезидент]])</f>
        <v>0</v>
      </c>
      <c r="I82" s="5">
        <f>+SUMIFS(авг!$L$2:$L$191,авг!$D$2:$D$191,"Ne Rezident",авг!$I$2:$I$191,СводкаРасходов24[[#This Row],[Нерезидент]])</f>
        <v>0</v>
      </c>
      <c r="J82" s="5">
        <f>+SUMIFS(сен!$L$2:$L$173,сен!$D$2:$D$173,"Ne Rezident",сен!$I$2:$I$173,СводкаРасходов24[[#This Row],[Нерезидент]])</f>
        <v>0</v>
      </c>
      <c r="K82" s="5">
        <f>+SUMIFS(окт!$L$2:$L$267,окт!$D$2:$D$267,"Ne Rezident",окт!$I$2:$I$267,СводкаРасходов24[[#This Row],[Нерезидент]])</f>
        <v>0</v>
      </c>
      <c r="L82" s="5"/>
      <c r="M82" s="5"/>
      <c r="N82" s="5">
        <f>SUM(СводкаРасходов24[[#This Row],[Январь]:[Декабрь]])</f>
        <v>0</v>
      </c>
      <c r="O82" s="21"/>
      <c r="P82" s="155">
        <f>IFERROR(+СводкаРасходов24[[#This Row],[Итог]]/СводкаРасходов24[[#Totals],[Итог]],0)</f>
        <v>0</v>
      </c>
    </row>
    <row r="83" spans="1:16" ht="16.8" hidden="1" x14ac:dyDescent="0.4">
      <c r="A83" s="23" t="s">
        <v>57</v>
      </c>
      <c r="B83" s="5">
        <f>+SUMIF(янв!$I$5:$I$150,СводкаРасходов24[[#This Row],[Нерезидент]],янв!$L$5:$L$150)</f>
        <v>0</v>
      </c>
      <c r="C83" s="5">
        <f>+SUMIF(фев!$I$4:$I$126,СводкаРасходов24[[#This Row],[Нерезидент]],фев!$L$4:$L$126)</f>
        <v>0</v>
      </c>
      <c r="D83" s="5">
        <f>+SUMIFS(мар!$L$5:$L$74,мар!$D$5:$D$74,мар!$D$5,мар!$I$5:$I$74,СводкаРасходов24[[#This Row],[Нерезидент]])</f>
        <v>0</v>
      </c>
      <c r="E83" s="5">
        <f>+SUMIF(апр!$I$5:$I$24,СводкаРасходов24[[#This Row],[Нерезидент]],апр!$L$5:$L$24)</f>
        <v>0</v>
      </c>
      <c r="F83" s="5">
        <f>+SUMIFS(май!$L$2:$L$32,май!$D$2:$D$32,май!$D$9,май!$I$2:$I$32,СводкаРасходов24[[#This Row],[Нерезидент]])</f>
        <v>0</v>
      </c>
      <c r="G83" s="5"/>
      <c r="H83" s="5">
        <f>+SUMIFS(июл!$L$2:$L$44,июл!$D$2:$D$44,"Ne Rezident",июл!$I$2:$I$44,СводкаРасходов24[[#This Row],[Нерезидент]])</f>
        <v>0</v>
      </c>
      <c r="I83" s="5">
        <f>+SUMIFS(авг!$L$2:$L$191,авг!$D$2:$D$191,"Ne Rezident",авг!$I$2:$I$191,СводкаРасходов24[[#This Row],[Нерезидент]])</f>
        <v>0</v>
      </c>
      <c r="J83" s="5">
        <f>+SUMIFS(сен!$L$2:$L$173,сен!$D$2:$D$173,"Ne Rezident",сен!$I$2:$I$173,СводкаРасходов24[[#This Row],[Нерезидент]])</f>
        <v>0</v>
      </c>
      <c r="K83" s="5">
        <f>+SUMIFS(окт!$L$2:$L$267,окт!$D$2:$D$267,"Ne Rezident",окт!$I$2:$I$267,СводкаРасходов24[[#This Row],[Нерезидент]])</f>
        <v>0</v>
      </c>
      <c r="L83" s="5"/>
      <c r="M83" s="5"/>
      <c r="N83" s="5">
        <f>SUM(СводкаРасходов24[[#This Row],[Январь]:[Декабрь]])</f>
        <v>0</v>
      </c>
      <c r="O83" s="21"/>
      <c r="P83" s="155">
        <f>IFERROR(+СводкаРасходов24[[#This Row],[Итог]]/СводкаРасходов24[[#Totals],[Итог]],0)</f>
        <v>0</v>
      </c>
    </row>
    <row r="84" spans="1:16" ht="16.8" hidden="1" x14ac:dyDescent="0.4">
      <c r="A84" s="23" t="s">
        <v>58</v>
      </c>
      <c r="B84" s="5">
        <f>+SUMIF(янв!$I$5:$I$150,СводкаРасходов24[[#This Row],[Нерезидент]],янв!$L$5:$L$150)</f>
        <v>0</v>
      </c>
      <c r="C84" s="5">
        <f>+SUMIF(фев!$I$4:$I$126,СводкаРасходов24[[#This Row],[Нерезидент]],фев!$L$4:$L$126)</f>
        <v>0</v>
      </c>
      <c r="D84" s="5">
        <f>+SUMIFS(мар!$L$5:$L$74,мар!$D$5:$D$74,мар!$D$5,мар!$I$5:$I$74,СводкаРасходов24[[#This Row],[Нерезидент]])</f>
        <v>0</v>
      </c>
      <c r="E84" s="5">
        <f>+SUMIF(апр!$I$5:$I$24,СводкаРасходов24[[#This Row],[Нерезидент]],апр!$L$5:$L$24)</f>
        <v>0</v>
      </c>
      <c r="F84" s="5">
        <f>+SUMIFS(май!$L$2:$L$32,май!$D$2:$D$32,май!$D$9,май!$I$2:$I$32,СводкаРасходов24[[#This Row],[Нерезидент]])</f>
        <v>0</v>
      </c>
      <c r="G84" s="5"/>
      <c r="H84" s="5">
        <f>+SUMIFS(июл!$L$2:$L$44,июл!$D$2:$D$44,"Ne Rezident",июл!$I$2:$I$44,СводкаРасходов24[[#This Row],[Нерезидент]])</f>
        <v>0</v>
      </c>
      <c r="I84" s="5">
        <f>+SUMIFS(авг!$L$2:$L$191,авг!$D$2:$D$191,"Ne Rezident",авг!$I$2:$I$191,СводкаРасходов24[[#This Row],[Нерезидент]])</f>
        <v>0</v>
      </c>
      <c r="J84" s="5">
        <f>+SUMIFS(сен!$L$2:$L$173,сен!$D$2:$D$173,"Ne Rezident",сен!$I$2:$I$173,СводкаРасходов24[[#This Row],[Нерезидент]])</f>
        <v>0</v>
      </c>
      <c r="K84" s="5">
        <f>+SUMIFS(окт!$L$2:$L$267,окт!$D$2:$D$267,"Ne Rezident",окт!$I$2:$I$267,СводкаРасходов24[[#This Row],[Нерезидент]])</f>
        <v>0</v>
      </c>
      <c r="L84" s="5"/>
      <c r="M84" s="5"/>
      <c r="N84" s="5">
        <f>SUM(СводкаРасходов24[[#This Row],[Январь]:[Декабрь]])</f>
        <v>0</v>
      </c>
      <c r="O84" s="21"/>
      <c r="P84" s="155">
        <f>IFERROR(+СводкаРасходов24[[#This Row],[Итог]]/СводкаРасходов24[[#Totals],[Итог]],0)</f>
        <v>0</v>
      </c>
    </row>
    <row r="85" spans="1:16" ht="16.8" hidden="1" x14ac:dyDescent="0.4">
      <c r="A85" s="23" t="s">
        <v>59</v>
      </c>
      <c r="B85" s="5">
        <f>+SUMIF(янв!$I$5:$I$150,СводкаРасходов24[[#This Row],[Нерезидент]],янв!$L$5:$L$150)</f>
        <v>0</v>
      </c>
      <c r="C85" s="5">
        <f>+SUMIF(фев!$I$4:$I$126,СводкаРасходов24[[#This Row],[Нерезидент]],фев!$L$4:$L$126)</f>
        <v>0</v>
      </c>
      <c r="D85" s="5">
        <f>+SUMIFS(мар!$L$5:$L$74,мар!$D$5:$D$74,мар!$D$5,мар!$I$5:$I$74,СводкаРасходов24[[#This Row],[Нерезидент]])</f>
        <v>0</v>
      </c>
      <c r="E85" s="5">
        <f>+SUMIF(апр!$I$5:$I$24,СводкаРасходов24[[#This Row],[Нерезидент]],апр!$L$5:$L$24)</f>
        <v>0</v>
      </c>
      <c r="F85" s="5">
        <f>+SUMIFS(май!$L$2:$L$32,май!$D$2:$D$32,май!$D$9,май!$I$2:$I$32,СводкаРасходов24[[#This Row],[Нерезидент]])</f>
        <v>0</v>
      </c>
      <c r="G85" s="5"/>
      <c r="H85" s="5">
        <f>+SUMIFS(июл!$L$2:$L$44,июл!$D$2:$D$44,"Ne Rezident",июл!$I$2:$I$44,СводкаРасходов24[[#This Row],[Нерезидент]])</f>
        <v>0</v>
      </c>
      <c r="I85" s="5">
        <f>+SUMIFS(авг!$L$2:$L$191,авг!$D$2:$D$191,"Ne Rezident",авг!$I$2:$I$191,СводкаРасходов24[[#This Row],[Нерезидент]])</f>
        <v>0</v>
      </c>
      <c r="J85" s="5">
        <f>+SUMIFS(сен!$L$2:$L$173,сен!$D$2:$D$173,"Ne Rezident",сен!$I$2:$I$173,СводкаРасходов24[[#This Row],[Нерезидент]])</f>
        <v>0</v>
      </c>
      <c r="K85" s="5">
        <f>+SUMIFS(окт!$L$2:$L$267,окт!$D$2:$D$267,"Ne Rezident",окт!$I$2:$I$267,СводкаРасходов24[[#This Row],[Нерезидент]])</f>
        <v>0</v>
      </c>
      <c r="L85" s="5"/>
      <c r="M85" s="5"/>
      <c r="N85" s="5">
        <f>SUM(СводкаРасходов24[[#This Row],[Январь]:[Декабрь]])</f>
        <v>0</v>
      </c>
      <c r="O85" s="21"/>
      <c r="P85" s="155">
        <f>IFERROR(+СводкаРасходов24[[#This Row],[Итог]]/СводкаРасходов24[[#Totals],[Итог]],0)</f>
        <v>0</v>
      </c>
    </row>
    <row r="86" spans="1:16" ht="16.8" hidden="1" x14ac:dyDescent="0.4">
      <c r="A86" s="23" t="s">
        <v>60</v>
      </c>
      <c r="B86" s="5">
        <f>+SUMIF(янв!$I$5:$I$150,СводкаРасходов24[[#This Row],[Нерезидент]],янв!$L$5:$L$150)</f>
        <v>0</v>
      </c>
      <c r="C86" s="5">
        <f>+SUMIF(фев!$I$4:$I$126,СводкаРасходов24[[#This Row],[Нерезидент]],фев!$L$4:$L$126)</f>
        <v>0</v>
      </c>
      <c r="D86" s="5">
        <f>+SUMIFS(мар!$L$5:$L$74,мар!$D$5:$D$74,мар!$D$5,мар!$I$5:$I$74,СводкаРасходов24[[#This Row],[Нерезидент]])</f>
        <v>0</v>
      </c>
      <c r="E86" s="5">
        <f>+SUMIF(апр!$I$5:$I$24,СводкаРасходов24[[#This Row],[Нерезидент]],апр!$L$5:$L$24)</f>
        <v>0</v>
      </c>
      <c r="F86" s="5">
        <f>+SUMIFS(май!$L$2:$L$32,май!$D$2:$D$32,май!$D$9,май!$I$2:$I$32,СводкаРасходов24[[#This Row],[Нерезидент]])</f>
        <v>0</v>
      </c>
      <c r="G86" s="5"/>
      <c r="H86" s="5">
        <f>+SUMIFS(июл!$L$2:$L$44,июл!$D$2:$D$44,"Ne Rezident",июл!$I$2:$I$44,СводкаРасходов24[[#This Row],[Нерезидент]])</f>
        <v>0</v>
      </c>
      <c r="I86" s="5">
        <f>+SUMIFS(авг!$L$2:$L$191,авг!$D$2:$D$191,"Ne Rezident",авг!$I$2:$I$191,СводкаРасходов24[[#This Row],[Нерезидент]])</f>
        <v>0</v>
      </c>
      <c r="J86" s="5">
        <f>+SUMIFS(сен!$L$2:$L$173,сен!$D$2:$D$173,"Ne Rezident",сен!$I$2:$I$173,СводкаРасходов24[[#This Row],[Нерезидент]])</f>
        <v>0</v>
      </c>
      <c r="K86" s="5">
        <f>+SUMIFS(окт!$L$2:$L$267,окт!$D$2:$D$267,"Ne Rezident",окт!$I$2:$I$267,СводкаРасходов24[[#This Row],[Нерезидент]])</f>
        <v>0</v>
      </c>
      <c r="L86" s="5"/>
      <c r="M86" s="5"/>
      <c r="N86" s="5">
        <f>SUM(СводкаРасходов24[[#This Row],[Январь]:[Декабрь]])</f>
        <v>0</v>
      </c>
      <c r="O86" s="21"/>
      <c r="P86" s="155">
        <f>IFERROR(+СводкаРасходов24[[#This Row],[Итог]]/СводкаРасходов24[[#Totals],[Итог]],0)</f>
        <v>0</v>
      </c>
    </row>
    <row r="87" spans="1:16" ht="16.8" hidden="1" x14ac:dyDescent="0.4">
      <c r="A87" s="23" t="s">
        <v>61</v>
      </c>
      <c r="B87" s="5">
        <f>+SUMIF(янв!$I$5:$I$150,СводкаРасходов24[[#This Row],[Нерезидент]],янв!$L$5:$L$150)</f>
        <v>0</v>
      </c>
      <c r="C87" s="5">
        <f>+SUMIF(фев!$I$4:$I$126,СводкаРасходов24[[#This Row],[Нерезидент]],фев!$L$4:$L$126)</f>
        <v>0</v>
      </c>
      <c r="D87" s="5">
        <f>+SUMIFS(мар!$L$5:$L$74,мар!$D$5:$D$74,мар!$D$5,мар!$I$5:$I$74,СводкаРасходов24[[#This Row],[Нерезидент]])</f>
        <v>0</v>
      </c>
      <c r="E87" s="5">
        <f>+SUMIF(апр!$I$5:$I$24,СводкаРасходов24[[#This Row],[Нерезидент]],апр!$L$5:$L$24)</f>
        <v>0</v>
      </c>
      <c r="F87" s="5">
        <f>+SUMIFS(май!$L$2:$L$32,май!$D$2:$D$32,май!$D$9,май!$I$2:$I$32,СводкаРасходов24[[#This Row],[Нерезидент]])</f>
        <v>0</v>
      </c>
      <c r="G87" s="5"/>
      <c r="H87" s="5">
        <f>+SUMIFS(июл!$L$2:$L$44,июл!$D$2:$D$44,"Ne Rezident",июл!$I$2:$I$44,СводкаРасходов24[[#This Row],[Нерезидент]])</f>
        <v>0</v>
      </c>
      <c r="I87" s="5">
        <f>+SUMIFS(авг!$L$2:$L$191,авг!$D$2:$D$191,"Ne Rezident",авг!$I$2:$I$191,СводкаРасходов24[[#This Row],[Нерезидент]])</f>
        <v>0</v>
      </c>
      <c r="J87" s="5">
        <f>+SUMIFS(сен!$L$2:$L$173,сен!$D$2:$D$173,"Ne Rezident",сен!$I$2:$I$173,СводкаРасходов24[[#This Row],[Нерезидент]])</f>
        <v>0</v>
      </c>
      <c r="K87" s="5">
        <f>+SUMIFS(окт!$L$2:$L$267,окт!$D$2:$D$267,"Ne Rezident",окт!$I$2:$I$267,СводкаРасходов24[[#This Row],[Нерезидент]])</f>
        <v>0</v>
      </c>
      <c r="L87" s="5"/>
      <c r="M87" s="5"/>
      <c r="N87" s="5">
        <f>SUM(СводкаРасходов24[[#This Row],[Январь]:[Декабрь]])</f>
        <v>0</v>
      </c>
      <c r="O87" s="21"/>
      <c r="P87" s="155">
        <f>IFERROR(+СводкаРасходов24[[#This Row],[Итог]]/СводкаРасходов24[[#Totals],[Итог]],0)</f>
        <v>0</v>
      </c>
    </row>
    <row r="88" spans="1:16" ht="16.8" x14ac:dyDescent="0.4">
      <c r="A88" s="23" t="s">
        <v>62</v>
      </c>
      <c r="B88" s="5">
        <f>+SUMIF(янв!$I$5:$I$150,СводкаРасходов24[[#This Row],[Нерезидент]],янв!$L$5:$L$150)</f>
        <v>17490849</v>
      </c>
      <c r="C88" s="5">
        <f>+SUMIF(фев!$I$4:$I$126,СводкаРасходов24[[#This Row],[Нерезидент]],фев!$L$4:$L$126)</f>
        <v>0</v>
      </c>
      <c r="D88" s="5">
        <f>+SUMIFS(мар!$L$5:$L$74,мар!$D$5:$D$74,мар!$D$5,мар!$I$5:$I$74,СводкаРасходов24[[#This Row],[Нерезидент]])</f>
        <v>0</v>
      </c>
      <c r="E88" s="5">
        <f>+SUMIF(апр!$I$5:$I$24,СводкаРасходов24[[#This Row],[Нерезидент]],апр!$L$5:$L$24)</f>
        <v>0</v>
      </c>
      <c r="F88" s="5">
        <f>+SUMIFS(май!$L$2:$L$32,май!$D$2:$D$32,май!$D$9,май!$I$2:$I$32,СводкаРасходов24[[#This Row],[Нерезидент]])</f>
        <v>0</v>
      </c>
      <c r="G88" s="5"/>
      <c r="H88" s="5">
        <f>+SUMIFS(июл!$L$2:$L$44,июл!$D$2:$D$44,"Ne Rezident",июл!$I$2:$I$44,СводкаРасходов24[[#This Row],[Нерезидент]])</f>
        <v>0</v>
      </c>
      <c r="I88" s="5">
        <f>+SUMIFS(авг!$L$2:$L$191,авг!$D$2:$D$191,"Ne Rezident",авг!$I$2:$I$191,СводкаРасходов24[[#This Row],[Нерезидент]])</f>
        <v>0</v>
      </c>
      <c r="J88" s="5">
        <f>+SUMIFS(сен!$L$2:$L$173,сен!$D$2:$D$173,"Ne Rezident",сен!$I$2:$I$173,СводкаРасходов24[[#This Row],[Нерезидент]])</f>
        <v>23662336</v>
      </c>
      <c r="K88" s="5">
        <f>+SUMIFS(окт!$L$2:$L$267,окт!$D$2:$D$267,"Ne Rezident",окт!$I$2:$I$267,СводкаРасходов24[[#This Row],[Нерезидент]])</f>
        <v>0</v>
      </c>
      <c r="L88" s="5"/>
      <c r="M88" s="5"/>
      <c r="N88" s="5">
        <f>SUM(СводкаРасходов24[[#This Row],[Январь]:[Декабрь]])</f>
        <v>41153185</v>
      </c>
      <c r="O88" s="21"/>
      <c r="P88" s="155">
        <f>IFERROR(+СводкаРасходов24[[#This Row],[Итог]]/СводкаРасходов24[[#Totals],[Итог]],0)</f>
        <v>8.484728771042999E-3</v>
      </c>
    </row>
    <row r="89" spans="1:16" ht="16.8" hidden="1" x14ac:dyDescent="0.4">
      <c r="A89" s="23" t="s">
        <v>63</v>
      </c>
      <c r="B89" s="5">
        <f>+SUMIF(янв!$I$5:$I$150,СводкаРасходов24[[#This Row],[Нерезидент]],янв!$L$5:$L$150)</f>
        <v>0</v>
      </c>
      <c r="C89" s="5">
        <f>+SUMIF(фев!$I$4:$I$126,СводкаРасходов24[[#This Row],[Нерезидент]],фев!$L$4:$L$126)</f>
        <v>0</v>
      </c>
      <c r="D89" s="5">
        <f>+SUMIFS(мар!$L$5:$L$74,мар!$D$5:$D$74,мар!$D$5,мар!$I$5:$I$74,СводкаРасходов24[[#This Row],[Нерезидент]])</f>
        <v>0</v>
      </c>
      <c r="E89" s="5">
        <f>+SUMIF(апр!$I$5:$I$24,СводкаРасходов24[[#This Row],[Нерезидент]],апр!$L$5:$L$24)</f>
        <v>0</v>
      </c>
      <c r="F89" s="5">
        <f>+SUMIFS(май!$L$2:$L$32,май!$D$2:$D$32,май!$D$9,май!$I$2:$I$32,СводкаРасходов24[[#This Row],[Нерезидент]])</f>
        <v>0</v>
      </c>
      <c r="G89" s="5"/>
      <c r="H89" s="5">
        <f>+SUMIFS(июл!$L$2:$L$44,июл!$D$2:$D$44,"Ne Rezident",июл!$I$2:$I$44,СводкаРасходов24[[#This Row],[Нерезидент]])</f>
        <v>0</v>
      </c>
      <c r="I89" s="5">
        <f>+SUMIFS(авг!$L$2:$L$191,авг!$D$2:$D$191,"Ne Rezident",авг!$I$2:$I$191,СводкаРасходов24[[#This Row],[Нерезидент]])</f>
        <v>0</v>
      </c>
      <c r="J89" s="5">
        <f>+SUMIFS(сен!$L$2:$L$173,сен!$D$2:$D$173,"Ne Rezident",сен!$I$2:$I$173,СводкаРасходов24[[#This Row],[Нерезидент]])</f>
        <v>0</v>
      </c>
      <c r="K89" s="5">
        <f>+SUMIFS(окт!$L$2:$L$267,окт!$D$2:$D$267,"Ne Rezident",окт!$I$2:$I$267,СводкаРасходов24[[#This Row],[Нерезидент]])</f>
        <v>0</v>
      </c>
      <c r="L89" s="5"/>
      <c r="M89" s="5"/>
      <c r="N89" s="5">
        <f>SUM(СводкаРасходов24[[#This Row],[Январь]:[Декабрь]])</f>
        <v>0</v>
      </c>
      <c r="O89" s="21"/>
      <c r="P89" s="155">
        <f>IFERROR(+СводкаРасходов24[[#This Row],[Итог]]/СводкаРасходов24[[#Totals],[Итог]],0)</f>
        <v>0</v>
      </c>
    </row>
    <row r="90" spans="1:16" ht="16.8" hidden="1" x14ac:dyDescent="0.4">
      <c r="A90" s="23" t="s">
        <v>447</v>
      </c>
      <c r="B90" s="5">
        <f>+SUMIF(янв!$I$5:$I$150,СводкаРасходов24[[#This Row],[Нерезидент]],янв!$L$5:$L$150)</f>
        <v>0</v>
      </c>
      <c r="C90" s="5">
        <f>+SUMIF(фев!$I$4:$I$126,СводкаРасходов24[[#This Row],[Нерезидент]],фев!$L$4:$L$126)</f>
        <v>0</v>
      </c>
      <c r="D90" s="5">
        <f>+SUMIFS(мар!$L$5:$L$74,мар!$D$5:$D$74,мар!$D$5,мар!$I$5:$I$74,СводкаРасходов24[[#This Row],[Нерезидент]])</f>
        <v>0</v>
      </c>
      <c r="E90" s="5">
        <f>+SUMIF(апр!$I$5:$I$24,СводкаРасходов24[[#This Row],[Нерезидент]],апр!$L$5:$L$24)</f>
        <v>0</v>
      </c>
      <c r="F90" s="5">
        <f>+SUMIFS(май!$L$2:$L$32,май!$D$2:$D$32,май!$D$9,май!$I$2:$I$32,СводкаРасходов24[[#This Row],[Нерезидент]])</f>
        <v>0</v>
      </c>
      <c r="G90" s="5"/>
      <c r="H90" s="10">
        <f>+SUMIFS(июл!$L$2:$L$44,июл!$D$2:$D$44,"Ne Rezident",июл!$I$2:$I$44,СводкаРасходов24[[#This Row],[Нерезидент]])</f>
        <v>0</v>
      </c>
      <c r="I90" s="10">
        <f>+SUMIFS(авг!$L$2:$L$191,авг!$D$2:$D$191,"Ne Rezident",авг!$I$2:$I$191,СводкаРасходов24[[#This Row],[Нерезидент]])</f>
        <v>0</v>
      </c>
      <c r="J90" s="10">
        <f>+SUMIFS(сен!$L$2:$L$173,сен!$D$2:$D$173,"Ne Rezident",сен!$I$2:$I$173,СводкаРасходов24[[#This Row],[Нерезидент]])</f>
        <v>0</v>
      </c>
      <c r="K90" s="10">
        <f>+SUMIFS(окт!$L$2:$L$267,окт!$D$2:$D$267,"Ne Rezident",окт!$I$2:$I$267,СводкаРасходов24[[#This Row],[Нерезидент]])</f>
        <v>0</v>
      </c>
      <c r="L90" s="10"/>
      <c r="M90" s="5"/>
      <c r="N90" s="5">
        <f>SUM(СводкаРасходов24[[#This Row],[Январь]:[Декабрь]])</f>
        <v>0</v>
      </c>
      <c r="O90" s="21"/>
      <c r="P90" s="155">
        <f>IFERROR(+СводкаРасходов24[[#This Row],[Итог]]/СводкаРасходов24[[#Totals],[Итог]],0)</f>
        <v>0</v>
      </c>
    </row>
    <row r="91" spans="1:16" ht="16.8" hidden="1" x14ac:dyDescent="0.4">
      <c r="A91" s="23" t="s">
        <v>64</v>
      </c>
      <c r="B91" s="5">
        <f>+SUMIF(янв!$I$5:$I$150,СводкаРасходов24[[#This Row],[Нерезидент]],янв!$L$5:$L$150)</f>
        <v>0</v>
      </c>
      <c r="C91" s="5">
        <f>+SUMIF(фев!$I$4:$I$126,СводкаРасходов24[[#This Row],[Нерезидент]],фев!$L$4:$L$126)</f>
        <v>0</v>
      </c>
      <c r="D91" s="5">
        <f>+SUMIFS(мар!$L$5:$L$74,мар!$D$5:$D$74,мар!$D$5,мар!$I$5:$I$74,СводкаРасходов24[[#This Row],[Нерезидент]])</f>
        <v>0</v>
      </c>
      <c r="E91" s="5">
        <f>+SUMIF(апр!$I$5:$I$24,СводкаРасходов24[[#This Row],[Нерезидент]],апр!$L$5:$L$24)</f>
        <v>0</v>
      </c>
      <c r="F91" s="5">
        <f>+SUMIFS(май!$L$2:$L$32,май!$D$2:$D$32,май!$D$9,май!$I$2:$I$32,СводкаРасходов24[[#This Row],[Нерезидент]])</f>
        <v>0</v>
      </c>
      <c r="G91" s="5"/>
      <c r="H91" s="5">
        <f>+SUMIFS(июл!$L$2:$L$44,июл!$D$2:$D$44,"Ne Rezident",июл!$I$2:$I$44,СводкаРасходов24[[#This Row],[Нерезидент]])</f>
        <v>0</v>
      </c>
      <c r="I91" s="5">
        <f>+SUMIFS(авг!$L$2:$L$191,авг!$D$2:$D$191,"Ne Rezident",авг!$I$2:$I$191,СводкаРасходов24[[#This Row],[Нерезидент]])</f>
        <v>0</v>
      </c>
      <c r="J91" s="5">
        <f>+SUMIFS(сен!$L$2:$L$173,сен!$D$2:$D$173,"Ne Rezident",сен!$I$2:$I$173,СводкаРасходов24[[#This Row],[Нерезидент]])</f>
        <v>0</v>
      </c>
      <c r="K91" s="5">
        <f>+SUMIFS(окт!$L$2:$L$267,окт!$D$2:$D$267,"Ne Rezident",окт!$I$2:$I$267,СводкаРасходов24[[#This Row],[Нерезидент]])</f>
        <v>0</v>
      </c>
      <c r="L91" s="5"/>
      <c r="M91" s="5"/>
      <c r="N91" s="5">
        <f>SUM(СводкаРасходов24[[#This Row],[Январь]:[Декабрь]])</f>
        <v>0</v>
      </c>
      <c r="O91" s="21"/>
      <c r="P91" s="155">
        <f>IFERROR(+СводкаРасходов24[[#This Row],[Итог]]/СводкаРасходов24[[#Totals],[Итог]],0)</f>
        <v>0</v>
      </c>
    </row>
    <row r="92" spans="1:16" ht="16.8" hidden="1" x14ac:dyDescent="0.4">
      <c r="A92" s="23" t="s">
        <v>65</v>
      </c>
      <c r="B92" s="5">
        <f>+SUMIF(янв!$I$5:$I$150,СводкаРасходов24[[#This Row],[Нерезидент]],янв!$L$5:$L$150)</f>
        <v>0</v>
      </c>
      <c r="C92" s="5">
        <f>+SUMIF(фев!$I$4:$I$126,СводкаРасходов24[[#This Row],[Нерезидент]],фев!$L$4:$L$126)</f>
        <v>0</v>
      </c>
      <c r="D92" s="5">
        <f>+SUMIFS(мар!$L$5:$L$74,мар!$D$5:$D$74,мар!$D$5,мар!$I$5:$I$74,СводкаРасходов24[[#This Row],[Нерезидент]])</f>
        <v>0</v>
      </c>
      <c r="E92" s="5">
        <f>+SUMIF(апр!$I$5:$I$24,СводкаРасходов24[[#This Row],[Нерезидент]],апр!$L$5:$L$24)</f>
        <v>0</v>
      </c>
      <c r="F92" s="5">
        <f>+SUMIFS(май!$L$2:$L$32,май!$D$2:$D$32,май!$D$9,май!$I$2:$I$32,СводкаРасходов24[[#This Row],[Нерезидент]])</f>
        <v>0</v>
      </c>
      <c r="G92" s="5"/>
      <c r="H92" s="5">
        <f>+SUMIFS(июл!$L$2:$L$44,июл!$D$2:$D$44,"Ne Rezident",июл!$I$2:$I$44,СводкаРасходов24[[#This Row],[Нерезидент]])</f>
        <v>0</v>
      </c>
      <c r="I92" s="5">
        <f>+SUMIFS(авг!$L$2:$L$191,авг!$D$2:$D$191,"Ne Rezident",авг!$I$2:$I$191,СводкаРасходов24[[#This Row],[Нерезидент]])</f>
        <v>0</v>
      </c>
      <c r="J92" s="5">
        <f>+SUMIFS(сен!$L$2:$L$173,сен!$D$2:$D$173,"Ne Rezident",сен!$I$2:$I$173,СводкаРасходов24[[#This Row],[Нерезидент]])</f>
        <v>0</v>
      </c>
      <c r="K92" s="5">
        <f>+SUMIFS(окт!$L$2:$L$267,окт!$D$2:$D$267,"Ne Rezident",окт!$I$2:$I$267,СводкаРасходов24[[#This Row],[Нерезидент]])</f>
        <v>0</v>
      </c>
      <c r="L92" s="5"/>
      <c r="M92" s="5"/>
      <c r="N92" s="5">
        <f>SUM(СводкаРасходов24[[#This Row],[Январь]:[Декабрь]])</f>
        <v>0</v>
      </c>
      <c r="O92" s="21"/>
      <c r="P92" s="155">
        <f>IFERROR(+СводкаРасходов24[[#This Row],[Итог]]/СводкаРасходов24[[#Totals],[Итог]],0)</f>
        <v>0</v>
      </c>
    </row>
    <row r="93" spans="1:16" ht="16.8" hidden="1" x14ac:dyDescent="0.4">
      <c r="A93" s="23" t="s">
        <v>66</v>
      </c>
      <c r="B93" s="5">
        <f>+SUMIF(янв!$I$5:$I$150,СводкаРасходов24[[#This Row],[Нерезидент]],янв!$L$5:$L$150)</f>
        <v>0</v>
      </c>
      <c r="C93" s="5">
        <f>+SUMIF(фев!$I$4:$I$126,СводкаРасходов24[[#This Row],[Нерезидент]],фев!$L$4:$L$126)</f>
        <v>0</v>
      </c>
      <c r="D93" s="5">
        <f>+SUMIFS(мар!$L$5:$L$74,мар!$D$5:$D$74,мар!$D$5,мар!$I$5:$I$74,СводкаРасходов24[[#This Row],[Нерезидент]])</f>
        <v>0</v>
      </c>
      <c r="E93" s="5">
        <f>+SUMIF(апр!$I$5:$I$24,СводкаРасходов24[[#This Row],[Нерезидент]],апр!$L$5:$L$24)</f>
        <v>0</v>
      </c>
      <c r="F93" s="5">
        <f>+SUMIFS(май!$L$2:$L$32,май!$D$2:$D$32,май!$D$9,май!$I$2:$I$32,СводкаРасходов24[[#This Row],[Нерезидент]])</f>
        <v>0</v>
      </c>
      <c r="G93" s="5"/>
      <c r="H93" s="5">
        <f>+SUMIFS(июл!$L$2:$L$44,июл!$D$2:$D$44,"Ne Rezident",июл!$I$2:$I$44,СводкаРасходов24[[#This Row],[Нерезидент]])</f>
        <v>0</v>
      </c>
      <c r="I93" s="5">
        <f>+SUMIFS(авг!$L$2:$L$191,авг!$D$2:$D$191,"Ne Rezident",авг!$I$2:$I$191,СводкаРасходов24[[#This Row],[Нерезидент]])</f>
        <v>0</v>
      </c>
      <c r="J93" s="5">
        <f>+SUMIFS(сен!$L$2:$L$173,сен!$D$2:$D$173,"Ne Rezident",сен!$I$2:$I$173,СводкаРасходов24[[#This Row],[Нерезидент]])</f>
        <v>0</v>
      </c>
      <c r="K93" s="5">
        <f>+SUMIFS(окт!$L$2:$L$267,окт!$D$2:$D$267,"Ne Rezident",окт!$I$2:$I$267,СводкаРасходов24[[#This Row],[Нерезидент]])</f>
        <v>0</v>
      </c>
      <c r="L93" s="5"/>
      <c r="M93" s="5"/>
      <c r="N93" s="5">
        <f>SUM(СводкаРасходов24[[#This Row],[Январь]:[Декабрь]])</f>
        <v>0</v>
      </c>
      <c r="O93" s="21"/>
      <c r="P93" s="155">
        <f>IFERROR(+СводкаРасходов24[[#This Row],[Итог]]/СводкаРасходов24[[#Totals],[Итог]],0)</f>
        <v>0</v>
      </c>
    </row>
    <row r="94" spans="1:16" ht="16.8" hidden="1" x14ac:dyDescent="0.4">
      <c r="A94" s="23" t="s">
        <v>67</v>
      </c>
      <c r="B94" s="5">
        <f>+SUMIF(янв!$I$5:$I$150,СводкаРасходов24[[#This Row],[Нерезидент]],янв!$L$5:$L$150)</f>
        <v>0</v>
      </c>
      <c r="C94" s="5">
        <f>+SUMIF(фев!$I$4:$I$126,СводкаРасходов24[[#This Row],[Нерезидент]],фев!$L$4:$L$126)</f>
        <v>0</v>
      </c>
      <c r="D94" s="5">
        <f>+SUMIFS(мар!$L$5:$L$74,мар!$D$5:$D$74,мар!$D$5,мар!$I$5:$I$74,СводкаРасходов24[[#This Row],[Нерезидент]])</f>
        <v>0</v>
      </c>
      <c r="E94" s="5">
        <f>+SUMIF(апр!$I$5:$I$24,СводкаРасходов24[[#This Row],[Нерезидент]],апр!$L$5:$L$24)</f>
        <v>0</v>
      </c>
      <c r="F94" s="5">
        <f>+SUMIFS(май!$L$2:$L$32,май!$D$2:$D$32,май!$D$9,май!$I$2:$I$32,СводкаРасходов24[[#This Row],[Нерезидент]])</f>
        <v>0</v>
      </c>
      <c r="G94" s="5"/>
      <c r="H94" s="5">
        <f>+SUMIFS(июл!$L$2:$L$44,июл!$D$2:$D$44,"Ne Rezident",июл!$I$2:$I$44,СводкаРасходов24[[#This Row],[Нерезидент]])</f>
        <v>0</v>
      </c>
      <c r="I94" s="5">
        <f>+SUMIFS(авг!$L$2:$L$191,авг!$D$2:$D$191,"Ne Rezident",авг!$I$2:$I$191,СводкаРасходов24[[#This Row],[Нерезидент]])</f>
        <v>0</v>
      </c>
      <c r="J94" s="5">
        <f>+SUMIFS(сен!$L$2:$L$173,сен!$D$2:$D$173,"Ne Rezident",сен!$I$2:$I$173,СводкаРасходов24[[#This Row],[Нерезидент]])</f>
        <v>0</v>
      </c>
      <c r="K94" s="5">
        <f>+SUMIFS(окт!$L$2:$L$267,окт!$D$2:$D$267,"Ne Rezident",окт!$I$2:$I$267,СводкаРасходов24[[#This Row],[Нерезидент]])</f>
        <v>0</v>
      </c>
      <c r="L94" s="5"/>
      <c r="M94" s="5"/>
      <c r="N94" s="5">
        <f>SUM(СводкаРасходов24[[#This Row],[Январь]:[Декабрь]])</f>
        <v>0</v>
      </c>
      <c r="O94" s="21"/>
      <c r="P94" s="155">
        <f>IFERROR(+СводкаРасходов24[[#This Row],[Итог]]/СводкаРасходов24[[#Totals],[Итог]],0)</f>
        <v>0</v>
      </c>
    </row>
    <row r="95" spans="1:16" ht="16.8" hidden="1" x14ac:dyDescent="0.4">
      <c r="A95" s="23"/>
      <c r="B95" s="5">
        <f>+SUMIF(янв!$I$5:$I$150,СводкаРасходов24[[#This Row],[Нерезидент]],янв!$L$5:$L$150)</f>
        <v>0</v>
      </c>
      <c r="C95" s="5">
        <f>+SUMIF(фев!$I$4:$I$126,СводкаРасходов24[[#This Row],[Нерезидент]],фев!$L$4:$L$126)</f>
        <v>0</v>
      </c>
      <c r="D95" s="5">
        <f>+SUMIFS(мар!$L$5:$L$74,мар!$D$5:$D$74,мар!$D$5,мар!$I$5:$I$74,СводкаРасходов24[[#This Row],[Нерезидент]])</f>
        <v>0</v>
      </c>
      <c r="E95" s="5">
        <f>+SUMIF(апр!$I$5:$I$24,СводкаРасходов24[[#This Row],[Нерезидент]],апр!$L$5:$L$24)</f>
        <v>0</v>
      </c>
      <c r="F95" s="5">
        <f>+SUMIFS(май!$L$2:$L$32,май!$D$2:$D$32,май!$D$9,май!$I$2:$I$32,СводкаРасходов24[[#This Row],[Нерезидент]])</f>
        <v>0</v>
      </c>
      <c r="G95" s="5"/>
      <c r="H95" s="5">
        <f>+SUMIFS(июл!$L$2:$L$44,июл!$D$2:$D$44,"Ne Rezident",июл!$I$2:$I$44,СводкаРасходов24[[#This Row],[Нерезидент]])</f>
        <v>0</v>
      </c>
      <c r="I95" s="5">
        <f>+SUMIFS(авг!$L$2:$L$191,авг!$D$2:$D$191,"Ne Rezident",авг!$I$2:$I$191,СводкаРасходов24[[#This Row],[Нерезидент]])</f>
        <v>0</v>
      </c>
      <c r="J95" s="5">
        <f>+SUMIFS(сен!$L$2:$L$173,сен!$D$2:$D$173,"Ne Rezident",сен!$I$2:$I$173,СводкаРасходов24[[#This Row],[Нерезидент]])</f>
        <v>0</v>
      </c>
      <c r="K95" s="5">
        <f>+SUMIFS(окт!$L$2:$L$267,окт!$D$2:$D$267,"Ne Rezident",окт!$I$2:$I$267,СводкаРасходов24[[#This Row],[Нерезидент]])</f>
        <v>0</v>
      </c>
      <c r="L95" s="5"/>
      <c r="M95" s="5"/>
      <c r="N95" s="5">
        <f>SUM(СводкаРасходов24[[#This Row],[Январь]:[Декабрь]])</f>
        <v>0</v>
      </c>
      <c r="O95" s="21"/>
      <c r="P95" s="155">
        <f>IFERROR(+СводкаРасходов24[[#This Row],[Итог]]/СводкаРасходов24[[#Totals],[Итог]],0)</f>
        <v>0</v>
      </c>
    </row>
    <row r="96" spans="1:16" ht="16.8" hidden="1" x14ac:dyDescent="0.4">
      <c r="A96" s="23" t="s">
        <v>69</v>
      </c>
      <c r="B96" s="5">
        <f>+SUMIF(янв!$I$5:$I$150,СводкаРасходов24[[#This Row],[Нерезидент]],янв!$L$5:$L$150)</f>
        <v>0</v>
      </c>
      <c r="C96" s="5">
        <f>+SUMIF(фев!$I$4:$I$126,СводкаРасходов24[[#This Row],[Нерезидент]],фев!$L$4:$L$126)</f>
        <v>0</v>
      </c>
      <c r="D96" s="5">
        <f>+SUMIFS(мар!$L$5:$L$74,мар!$D$5:$D$74,мар!$D$5,мар!$I$5:$I$74,СводкаРасходов24[[#This Row],[Нерезидент]])</f>
        <v>0</v>
      </c>
      <c r="E96" s="5">
        <f>+SUMIF(апр!$I$5:$I$24,СводкаРасходов24[[#This Row],[Нерезидент]],апр!$L$5:$L$24)</f>
        <v>0</v>
      </c>
      <c r="F96" s="5">
        <f>+SUMIFS(май!$L$2:$L$32,май!$D$2:$D$32,май!$D$9,май!$I$2:$I$32,СводкаРасходов24[[#This Row],[Нерезидент]])</f>
        <v>0</v>
      </c>
      <c r="G96" s="5"/>
      <c r="H96" s="5">
        <f>+SUMIFS(июл!$L$2:$L$44,июл!$D$2:$D$44,"Ne Rezident",июл!$I$2:$I$44,СводкаРасходов24[[#This Row],[Нерезидент]])</f>
        <v>0</v>
      </c>
      <c r="I96" s="5">
        <f>+SUMIFS(авг!$L$2:$L$191,авг!$D$2:$D$191,"Ne Rezident",авг!$I$2:$I$191,СводкаРасходов24[[#This Row],[Нерезидент]])</f>
        <v>0</v>
      </c>
      <c r="J96" s="5">
        <f>+SUMIFS(сен!$L$2:$L$173,сен!$D$2:$D$173,"Ne Rezident",сен!$I$2:$I$173,СводкаРасходов24[[#This Row],[Нерезидент]])</f>
        <v>0</v>
      </c>
      <c r="K96" s="5">
        <f>+SUMIFS(окт!$L$2:$L$267,окт!$D$2:$D$267,"Ne Rezident",окт!$I$2:$I$267,СводкаРасходов24[[#This Row],[Нерезидент]])</f>
        <v>0</v>
      </c>
      <c r="L96" s="5"/>
      <c r="M96" s="5"/>
      <c r="N96" s="5">
        <f>SUM(СводкаРасходов24[[#This Row],[Январь]:[Декабрь]])</f>
        <v>0</v>
      </c>
      <c r="O96" s="6"/>
      <c r="P96" s="30">
        <f>IFERROR(+СводкаРасходов24[[#This Row],[Итог]]/СводкаРасходов24[[#Totals],[Итог]],0)</f>
        <v>0</v>
      </c>
    </row>
    <row r="97" spans="1:16" ht="16.8" hidden="1" x14ac:dyDescent="0.4">
      <c r="A97" s="23" t="s">
        <v>70</v>
      </c>
      <c r="B97" s="5">
        <f>+SUMIF(янв!$I$5:$I$150,СводкаРасходов24[[#This Row],[Нерезидент]],янв!$L$5:$L$150)</f>
        <v>0</v>
      </c>
      <c r="C97" s="5">
        <f>+SUMIF(фев!$I$4:$I$126,СводкаРасходов24[[#This Row],[Нерезидент]],фев!$L$4:$L$126)</f>
        <v>0</v>
      </c>
      <c r="D97" s="5">
        <f>+SUMIFS(мар!$L$5:$L$74,мар!$D$5:$D$74,мар!$D$5,мар!$I$5:$I$74,СводкаРасходов24[[#This Row],[Нерезидент]])</f>
        <v>0</v>
      </c>
      <c r="E97" s="5">
        <f>+SUMIF(апр!$I$5:$I$24,СводкаРасходов24[[#This Row],[Нерезидент]],апр!$L$5:$L$24)</f>
        <v>0</v>
      </c>
      <c r="F97" s="5">
        <f>+SUMIFS(май!$L$2:$L$32,май!$D$2:$D$32,май!$D$9,май!$I$2:$I$32,СводкаРасходов24[[#This Row],[Нерезидент]])</f>
        <v>0</v>
      </c>
      <c r="G97" s="5"/>
      <c r="H97" s="5">
        <f>+SUMIFS(июл!$L$2:$L$44,июл!$D$2:$D$44,"Ne Rezident",июл!$I$2:$I$44,СводкаРасходов24[[#This Row],[Нерезидент]])</f>
        <v>0</v>
      </c>
      <c r="I97" s="5">
        <f>+SUMIFS(авг!$L$2:$L$191,авг!$D$2:$D$191,"Ne Rezident",авг!$I$2:$I$191,СводкаРасходов24[[#This Row],[Нерезидент]])</f>
        <v>0</v>
      </c>
      <c r="J97" s="5">
        <f>+SUMIFS(сен!$L$2:$L$173,сен!$D$2:$D$173,"Ne Rezident",сен!$I$2:$I$173,СводкаРасходов24[[#This Row],[Нерезидент]])</f>
        <v>0</v>
      </c>
      <c r="K97" s="5">
        <f>+SUMIFS(окт!$L$2:$L$267,окт!$D$2:$D$267,"Ne Rezident",окт!$I$2:$I$267,СводкаРасходов24[[#This Row],[Нерезидент]])</f>
        <v>0</v>
      </c>
      <c r="L97" s="5"/>
      <c r="M97" s="5"/>
      <c r="N97" s="5">
        <f>SUM(СводкаРасходов24[[#This Row],[Январь]:[Декабрь]])</f>
        <v>0</v>
      </c>
      <c r="O97" s="6"/>
      <c r="P97" s="30">
        <f>IFERROR(+СводкаРасходов24[[#This Row],[Итог]]/СводкаРасходов24[[#Totals],[Итог]],0)</f>
        <v>0</v>
      </c>
    </row>
    <row r="98" spans="1:16" ht="16.8" x14ac:dyDescent="0.4">
      <c r="A98" s="23" t="s">
        <v>71</v>
      </c>
      <c r="B98" s="5">
        <f>+SUMIF(янв!$I$5:$I$150,СводкаРасходов24[[#This Row],[Нерезидент]],янв!$L$5:$L$150)</f>
        <v>19129525</v>
      </c>
      <c r="C98" s="5">
        <f>+SUMIF(фев!$I$4:$I$126,СводкаРасходов24[[#This Row],[Нерезидент]],фев!$L$4:$L$126)</f>
        <v>21113796</v>
      </c>
      <c r="D98" s="5">
        <f>+SUMIFS(мар!$L$5:$L$74,мар!$D$5:$D$74,мар!$D$5,мар!$I$5:$I$74,СводкаРасходов24[[#This Row],[Нерезидент]])</f>
        <v>0</v>
      </c>
      <c r="E98" s="5">
        <f>+SUMIF(апр!$I$5:$I$24,СводкаРасходов24[[#This Row],[Нерезидент]],апр!$L$5:$L$24)</f>
        <v>0</v>
      </c>
      <c r="F98" s="5">
        <f>+SUMIFS(май!$L$2:$L$32,май!$D$2:$D$32,май!$D$9,май!$I$2:$I$32,СводкаРасходов24[[#This Row],[Нерезидент]])</f>
        <v>0</v>
      </c>
      <c r="G98" s="5"/>
      <c r="H98" s="5">
        <f>+SUMIFS(июл!$L$2:$L$44,июл!$D$2:$D$44,"Ne Rezident",июл!$I$2:$I$44,СводкаРасходов24[[#This Row],[Нерезидент]])</f>
        <v>0</v>
      </c>
      <c r="I98" s="5">
        <f>+SUMIFS(авг!$L$2:$L$191,авг!$D$2:$D$191,"Ne Rezident",авг!$I$2:$I$191,СводкаРасходов24[[#This Row],[Нерезидент]])</f>
        <v>0</v>
      </c>
      <c r="J98" s="5">
        <f>+SUMIFS(сен!$L$2:$L$173,сен!$D$2:$D$173,"Ne Rezident",сен!$I$2:$I$173,СводкаРасходов24[[#This Row],[Нерезидент]])</f>
        <v>0</v>
      </c>
      <c r="K98" s="5">
        <f>+SUMIFS(окт!$L$2:$L$267,окт!$D$2:$D$267,"Ne Rezident",окт!$I$2:$I$267,СводкаРасходов24[[#This Row],[Нерезидент]])</f>
        <v>0</v>
      </c>
      <c r="L98" s="5"/>
      <c r="M98" s="5"/>
      <c r="N98" s="5">
        <f>SUM(СводкаРасходов24[[#This Row],[Январь]:[Декабрь]])</f>
        <v>40243321</v>
      </c>
      <c r="O98" s="6"/>
      <c r="P98" s="30">
        <f>IFERROR(+СводкаРасходов24[[#This Row],[Итог]]/СводкаРасходов24[[#Totals],[Итог]],0)</f>
        <v>8.2971382052450839E-3</v>
      </c>
    </row>
    <row r="99" spans="1:16" ht="16.8" hidden="1" x14ac:dyDescent="0.4">
      <c r="A99" s="23" t="s">
        <v>72</v>
      </c>
      <c r="B99" s="5">
        <f>+SUMIF(янв!$I$5:$I$150,СводкаРасходов24[[#This Row],[Нерезидент]],янв!$L$5:$L$150)</f>
        <v>0</v>
      </c>
      <c r="C99" s="5">
        <f>+SUMIF(фев!$I$4:$I$126,СводкаРасходов24[[#This Row],[Нерезидент]],фев!$L$4:$L$126)</f>
        <v>0</v>
      </c>
      <c r="D99" s="5">
        <f>+SUMIFS(мар!$L$5:$L$74,мар!$D$5:$D$74,мар!$D$5,мар!$I$5:$I$74,СводкаРасходов24[[#This Row],[Нерезидент]])</f>
        <v>0</v>
      </c>
      <c r="E99" s="5">
        <f>+SUMIF(апр!$I$5:$I$24,СводкаРасходов24[[#This Row],[Нерезидент]],апр!$L$5:$L$24)</f>
        <v>0</v>
      </c>
      <c r="F99" s="5">
        <f>+SUMIFS(май!$L$2:$L$32,май!$D$2:$D$32,май!$D$9,май!$I$2:$I$32,СводкаРасходов24[[#This Row],[Нерезидент]])</f>
        <v>0</v>
      </c>
      <c r="G99" s="5"/>
      <c r="H99" s="5">
        <f>+SUMIFS(июл!$L$2:$L$44,июл!$D$2:$D$44,"Ne Rezident",июл!$I$2:$I$44,СводкаРасходов24[[#This Row],[Нерезидент]])</f>
        <v>0</v>
      </c>
      <c r="I99" s="5">
        <f>+SUMIFS(авг!$L$2:$L$191,авг!$D$2:$D$191,"Ne Rezident",авг!$I$2:$I$191,СводкаРасходов24[[#This Row],[Нерезидент]])</f>
        <v>0</v>
      </c>
      <c r="J99" s="5">
        <f>+SUMIFS(сен!$L$2:$L$173,сен!$D$2:$D$173,"Ne Rezident",сен!$I$2:$I$173,СводкаРасходов24[[#This Row],[Нерезидент]])</f>
        <v>0</v>
      </c>
      <c r="K99" s="5">
        <f>+SUMIFS(окт!$L$2:$L$267,окт!$D$2:$D$267,"Ne Rezident",окт!$I$2:$I$267,СводкаРасходов24[[#This Row],[Нерезидент]])</f>
        <v>0</v>
      </c>
      <c r="L99" s="5"/>
      <c r="M99" s="5"/>
      <c r="N99" s="5">
        <f>SUM(СводкаРасходов24[[#This Row],[Январь]:[Декабрь]])</f>
        <v>0</v>
      </c>
      <c r="O99" s="6"/>
      <c r="P99" s="30">
        <f>IFERROR(+СводкаРасходов24[[#This Row],[Итог]]/СводкаРасходов24[[#Totals],[Итог]],0)</f>
        <v>0</v>
      </c>
    </row>
    <row r="100" spans="1:16" ht="16.8" hidden="1" x14ac:dyDescent="0.4">
      <c r="A100" s="23" t="s">
        <v>73</v>
      </c>
      <c r="B100" s="5">
        <f>+SUMIF(янв!$I$5:$I$150,СводкаРасходов24[[#This Row],[Нерезидент]],янв!$L$5:$L$150)</f>
        <v>0</v>
      </c>
      <c r="C100" s="5">
        <f>+SUMIF(фев!$I$4:$I$126,СводкаРасходов24[[#This Row],[Нерезидент]],фев!$L$4:$L$126)</f>
        <v>0</v>
      </c>
      <c r="D100" s="5">
        <f>+SUMIFS(мар!$L$5:$L$74,мар!$D$5:$D$74,мар!$D$5,мар!$I$5:$I$74,СводкаРасходов24[[#This Row],[Нерезидент]])</f>
        <v>0</v>
      </c>
      <c r="E100" s="5">
        <f>+SUMIF(апр!$I$5:$I$24,СводкаРасходов24[[#This Row],[Нерезидент]],апр!$L$5:$L$24)</f>
        <v>0</v>
      </c>
      <c r="F100" s="5">
        <f>+SUMIFS(май!$L$2:$L$32,май!$D$2:$D$32,май!$D$9,май!$I$2:$I$32,СводкаРасходов24[[#This Row],[Нерезидент]])</f>
        <v>0</v>
      </c>
      <c r="G100" s="5"/>
      <c r="H100" s="5">
        <f>+SUMIFS(июл!$L$2:$L$44,июл!$D$2:$D$44,"Ne Rezident",июл!$I$2:$I$44,СводкаРасходов24[[#This Row],[Нерезидент]])</f>
        <v>0</v>
      </c>
      <c r="I100" s="5">
        <f>+SUMIFS(авг!$L$2:$L$191,авг!$D$2:$D$191,"Ne Rezident",авг!$I$2:$I$191,СводкаРасходов24[[#This Row],[Нерезидент]])</f>
        <v>0</v>
      </c>
      <c r="J100" s="5">
        <f>+SUMIFS(сен!$L$2:$L$173,сен!$D$2:$D$173,"Ne Rezident",сен!$I$2:$I$173,СводкаРасходов24[[#This Row],[Нерезидент]])</f>
        <v>0</v>
      </c>
      <c r="K100" s="5">
        <f>+SUMIFS(окт!$L$2:$L$267,окт!$D$2:$D$267,"Ne Rezident",окт!$I$2:$I$267,СводкаРасходов24[[#This Row],[Нерезидент]])</f>
        <v>0</v>
      </c>
      <c r="L100" s="5"/>
      <c r="M100" s="5"/>
      <c r="N100" s="5">
        <f>SUM(СводкаРасходов24[[#This Row],[Январь]:[Декабрь]])</f>
        <v>0</v>
      </c>
      <c r="O100" s="6"/>
      <c r="P100" s="30">
        <f>IFERROR(+СводкаРасходов24[[#This Row],[Итог]]/СводкаРасходов24[[#Totals],[Итог]],0)</f>
        <v>0</v>
      </c>
    </row>
    <row r="101" spans="1:16" ht="16.8" hidden="1" x14ac:dyDescent="0.4">
      <c r="A101" s="23" t="s">
        <v>74</v>
      </c>
      <c r="B101" s="5">
        <f>+SUMIF(янв!$I$5:$I$150,СводкаРасходов24[[#This Row],[Нерезидент]],янв!$L$5:$L$150)</f>
        <v>0</v>
      </c>
      <c r="C101" s="5">
        <f>+SUMIF(фев!$I$4:$I$126,СводкаРасходов24[[#This Row],[Нерезидент]],фев!$L$4:$L$126)</f>
        <v>0</v>
      </c>
      <c r="D101" s="5">
        <f>+SUMIFS(мар!$L$5:$L$74,мар!$D$5:$D$74,мар!$D$5,мар!$I$5:$I$74,СводкаРасходов24[[#This Row],[Нерезидент]])</f>
        <v>0</v>
      </c>
      <c r="E101" s="5">
        <f>+SUMIF(апр!$I$5:$I$24,СводкаРасходов24[[#This Row],[Нерезидент]],апр!$L$5:$L$24)</f>
        <v>0</v>
      </c>
      <c r="F101" s="5">
        <f>+SUMIFS(май!$L$2:$L$32,май!$D$2:$D$32,май!$D$9,май!$I$2:$I$32,СводкаРасходов24[[#This Row],[Нерезидент]])</f>
        <v>0</v>
      </c>
      <c r="G101" s="5"/>
      <c r="H101" s="5">
        <f>+SUMIFS(июл!$L$2:$L$44,июл!$D$2:$D$44,"Ne Rezident",июл!$I$2:$I$44,СводкаРасходов24[[#This Row],[Нерезидент]])</f>
        <v>0</v>
      </c>
      <c r="I101" s="5">
        <f>+SUMIFS(авг!$L$2:$L$191,авг!$D$2:$D$191,"Ne Rezident",авг!$I$2:$I$191,СводкаРасходов24[[#This Row],[Нерезидент]])</f>
        <v>0</v>
      </c>
      <c r="J101" s="5">
        <f>+SUMIFS(сен!$L$2:$L$173,сен!$D$2:$D$173,"Ne Rezident",сен!$I$2:$I$173,СводкаРасходов24[[#This Row],[Нерезидент]])</f>
        <v>0</v>
      </c>
      <c r="K101" s="5">
        <f>+SUMIFS(окт!$L$2:$L$267,окт!$D$2:$D$267,"Ne Rezident",окт!$I$2:$I$267,СводкаРасходов24[[#This Row],[Нерезидент]])</f>
        <v>0</v>
      </c>
      <c r="L101" s="5"/>
      <c r="M101" s="5"/>
      <c r="N101" s="5">
        <f>SUM(СводкаРасходов24[[#This Row],[Январь]:[Декабрь]])</f>
        <v>0</v>
      </c>
      <c r="O101" s="6"/>
      <c r="P101" s="30">
        <f>IFERROR(+СводкаРасходов24[[#This Row],[Итог]]/СводкаРасходов24[[#Totals],[Итог]],0)</f>
        <v>0</v>
      </c>
    </row>
    <row r="102" spans="1:16" ht="16.8" hidden="1" x14ac:dyDescent="0.4">
      <c r="A102" s="23" t="s">
        <v>75</v>
      </c>
      <c r="B102" s="5">
        <f>+SUMIF(янв!$I$5:$I$150,СводкаРасходов24[[#This Row],[Нерезидент]],янв!$L$5:$L$150)</f>
        <v>0</v>
      </c>
      <c r="C102" s="5">
        <f>+SUMIF(фев!$I$4:$I$126,СводкаРасходов24[[#This Row],[Нерезидент]],фев!$L$4:$L$126)</f>
        <v>0</v>
      </c>
      <c r="D102" s="5">
        <f>+SUMIFS(мар!$L$5:$L$74,мар!$D$5:$D$74,мар!$D$5,мар!$I$5:$I$74,СводкаРасходов24[[#This Row],[Нерезидент]])</f>
        <v>0</v>
      </c>
      <c r="E102" s="5">
        <f>+SUMIF(апр!$I$5:$I$24,СводкаРасходов24[[#This Row],[Нерезидент]],апр!$L$5:$L$24)</f>
        <v>0</v>
      </c>
      <c r="F102" s="5">
        <f>+SUMIFS(май!$L$2:$L$32,май!$D$2:$D$32,май!$D$9,май!$I$2:$I$32,СводкаРасходов24[[#This Row],[Нерезидент]])</f>
        <v>0</v>
      </c>
      <c r="G102" s="5"/>
      <c r="H102" s="5">
        <f>+SUMIFS(июл!$L$2:$L$44,июл!$D$2:$D$44,"Ne Rezident",июл!$I$2:$I$44,СводкаРасходов24[[#This Row],[Нерезидент]])</f>
        <v>0</v>
      </c>
      <c r="I102" s="5">
        <f>+SUMIFS(авг!$L$2:$L$191,авг!$D$2:$D$191,"Ne Rezident",авг!$I$2:$I$191,СводкаРасходов24[[#This Row],[Нерезидент]])</f>
        <v>0</v>
      </c>
      <c r="J102" s="5">
        <f>+SUMIFS(сен!$L$2:$L$173,сен!$D$2:$D$173,"Ne Rezident",сен!$I$2:$I$173,СводкаРасходов24[[#This Row],[Нерезидент]])</f>
        <v>0</v>
      </c>
      <c r="K102" s="5">
        <f>+SUMIFS(окт!$L$2:$L$267,окт!$D$2:$D$267,"Ne Rezident",окт!$I$2:$I$267,СводкаРасходов24[[#This Row],[Нерезидент]])</f>
        <v>0</v>
      </c>
      <c r="L102" s="5"/>
      <c r="M102" s="5"/>
      <c r="N102" s="5">
        <f>SUM(СводкаРасходов24[[#This Row],[Январь]:[Декабрь]])</f>
        <v>0</v>
      </c>
      <c r="O102" s="6"/>
      <c r="P102" s="30">
        <f>IFERROR(+СводкаРасходов24[[#This Row],[Итог]]/СводкаРасходов24[[#Totals],[Итог]],0)</f>
        <v>0</v>
      </c>
    </row>
    <row r="103" spans="1:16" ht="16.8" hidden="1" x14ac:dyDescent="0.4">
      <c r="A103" s="23" t="s">
        <v>76</v>
      </c>
      <c r="B103" s="5">
        <f>+SUMIF(янв!$I$5:$I$150,СводкаРасходов24[[#This Row],[Нерезидент]],янв!$L$5:$L$150)</f>
        <v>0</v>
      </c>
      <c r="C103" s="5">
        <f>+SUMIF(фев!$I$4:$I$126,СводкаРасходов24[[#This Row],[Нерезидент]],фев!$L$4:$L$126)</f>
        <v>0</v>
      </c>
      <c r="D103" s="5">
        <f>+SUMIFS(мар!$L$5:$L$74,мар!$D$5:$D$74,мар!$D$5,мар!$I$5:$I$74,СводкаРасходов24[[#This Row],[Нерезидент]])</f>
        <v>0</v>
      </c>
      <c r="E103" s="5">
        <f>+SUMIF(апр!$I$5:$I$24,СводкаРасходов24[[#This Row],[Нерезидент]],апр!$L$5:$L$24)</f>
        <v>0</v>
      </c>
      <c r="F103" s="5">
        <f>+SUMIFS(май!$L$2:$L$32,май!$D$2:$D$32,май!$D$9,май!$I$2:$I$32,СводкаРасходов24[[#This Row],[Нерезидент]])</f>
        <v>0</v>
      </c>
      <c r="G103" s="5"/>
      <c r="H103" s="5">
        <f>+SUMIFS(июл!$L$2:$L$44,июл!$D$2:$D$44,"Ne Rezident",июл!$I$2:$I$44,СводкаРасходов24[[#This Row],[Нерезидент]])</f>
        <v>0</v>
      </c>
      <c r="I103" s="5">
        <f>+SUMIFS(авг!$L$2:$L$191,авг!$D$2:$D$191,"Ne Rezident",авг!$I$2:$I$191,СводкаРасходов24[[#This Row],[Нерезидент]])</f>
        <v>0</v>
      </c>
      <c r="J103" s="5">
        <f>+SUMIFS(сен!$L$2:$L$173,сен!$D$2:$D$173,"Ne Rezident",сен!$I$2:$I$173,СводкаРасходов24[[#This Row],[Нерезидент]])</f>
        <v>0</v>
      </c>
      <c r="K103" s="5">
        <f>+SUMIFS(окт!$L$2:$L$267,окт!$D$2:$D$267,"Ne Rezident",окт!$I$2:$I$267,СводкаРасходов24[[#This Row],[Нерезидент]])</f>
        <v>0</v>
      </c>
      <c r="L103" s="5"/>
      <c r="M103" s="5"/>
      <c r="N103" s="5">
        <f>SUM(СводкаРасходов24[[#This Row],[Январь]:[Декабрь]])</f>
        <v>0</v>
      </c>
      <c r="O103" s="6"/>
      <c r="P103" s="30">
        <f>IFERROR(+СводкаРасходов24[[#This Row],[Итог]]/СводкаРасходов24[[#Totals],[Итог]],0)</f>
        <v>0</v>
      </c>
    </row>
    <row r="104" spans="1:16" ht="16.8" hidden="1" x14ac:dyDescent="0.4">
      <c r="A104" s="23" t="s">
        <v>77</v>
      </c>
      <c r="B104" s="5">
        <f>+SUMIF(янв!$I$5:$I$150,СводкаРасходов24[[#This Row],[Нерезидент]],янв!$L$5:$L$150)</f>
        <v>0</v>
      </c>
      <c r="C104" s="5">
        <f>+SUMIF(фев!$I$4:$I$126,СводкаРасходов24[[#This Row],[Нерезидент]],фев!$L$4:$L$126)</f>
        <v>0</v>
      </c>
      <c r="D104" s="5">
        <f>+SUMIFS(мар!$L$5:$L$74,мар!$D$5:$D$74,мар!$D$5,мар!$I$5:$I$74,СводкаРасходов24[[#This Row],[Нерезидент]])</f>
        <v>0</v>
      </c>
      <c r="E104" s="5">
        <f>+SUMIF(апр!$I$5:$I$24,СводкаРасходов24[[#This Row],[Нерезидент]],апр!$L$5:$L$24)</f>
        <v>0</v>
      </c>
      <c r="F104" s="5">
        <f>+SUMIFS(май!$L$2:$L$32,май!$D$2:$D$32,май!$D$9,май!$I$2:$I$32,СводкаРасходов24[[#This Row],[Нерезидент]])</f>
        <v>0</v>
      </c>
      <c r="G104" s="5"/>
      <c r="H104" s="5">
        <f>+SUMIFS(июл!$L$2:$L$44,июл!$D$2:$D$44,"Ne Rezident",июл!$I$2:$I$44,СводкаРасходов24[[#This Row],[Нерезидент]])</f>
        <v>0</v>
      </c>
      <c r="I104" s="5">
        <f>+SUMIFS(авг!$L$2:$L$191,авг!$D$2:$D$191,"Ne Rezident",авг!$I$2:$I$191,СводкаРасходов24[[#This Row],[Нерезидент]])</f>
        <v>0</v>
      </c>
      <c r="J104" s="5">
        <f>+SUMIFS(сен!$L$2:$L$173,сен!$D$2:$D$173,"Ne Rezident",сен!$I$2:$I$173,СводкаРасходов24[[#This Row],[Нерезидент]])</f>
        <v>0</v>
      </c>
      <c r="K104" s="5">
        <f>+SUMIFS(окт!$L$2:$L$267,окт!$D$2:$D$267,"Ne Rezident",окт!$I$2:$I$267,СводкаРасходов24[[#This Row],[Нерезидент]])</f>
        <v>0</v>
      </c>
      <c r="L104" s="5"/>
      <c r="M104" s="5"/>
      <c r="N104" s="5">
        <f>SUM(СводкаРасходов24[[#This Row],[Январь]:[Декабрь]])</f>
        <v>0</v>
      </c>
      <c r="O104" s="6"/>
      <c r="P104" s="30">
        <f>IFERROR(+СводкаРасходов24[[#This Row],[Итог]]/СводкаРасходов24[[#Totals],[Итог]],0)</f>
        <v>0</v>
      </c>
    </row>
    <row r="105" spans="1:16" ht="16.8" hidden="1" x14ac:dyDescent="0.4">
      <c r="A105" s="23" t="s">
        <v>78</v>
      </c>
      <c r="B105" s="5">
        <f>+SUMIF(янв!$I$5:$I$150,СводкаРасходов24[[#This Row],[Нерезидент]],янв!$L$5:$L$150)</f>
        <v>0</v>
      </c>
      <c r="C105" s="5">
        <f>+SUMIF(фев!$I$4:$I$126,СводкаРасходов24[[#This Row],[Нерезидент]],фев!$L$4:$L$126)</f>
        <v>0</v>
      </c>
      <c r="D105" s="5">
        <f>+SUMIFS(мар!$L$5:$L$74,мар!$D$5:$D$74,мар!$D$5,мар!$I$5:$I$74,СводкаРасходов24[[#This Row],[Нерезидент]])</f>
        <v>0</v>
      </c>
      <c r="E105" s="5">
        <f>+SUMIF(апр!$I$5:$I$24,СводкаРасходов24[[#This Row],[Нерезидент]],апр!$L$5:$L$24)</f>
        <v>0</v>
      </c>
      <c r="F105" s="5">
        <f>+SUMIFS(май!$L$2:$L$32,май!$D$2:$D$32,май!$D$9,май!$I$2:$I$32,СводкаРасходов24[[#This Row],[Нерезидент]])</f>
        <v>0</v>
      </c>
      <c r="G105" s="5"/>
      <c r="H105" s="5">
        <f>+SUMIFS(июл!$L$2:$L$44,июл!$D$2:$D$44,"Ne Rezident",июл!$I$2:$I$44,СводкаРасходов24[[#This Row],[Нерезидент]])</f>
        <v>0</v>
      </c>
      <c r="I105" s="5">
        <f>+SUMIFS(авг!$L$2:$L$191,авг!$D$2:$D$191,"Ne Rezident",авг!$I$2:$I$191,СводкаРасходов24[[#This Row],[Нерезидент]])</f>
        <v>0</v>
      </c>
      <c r="J105" s="5">
        <f>+SUMIFS(сен!$L$2:$L$173,сен!$D$2:$D$173,"Ne Rezident",сен!$I$2:$I$173,СводкаРасходов24[[#This Row],[Нерезидент]])</f>
        <v>0</v>
      </c>
      <c r="K105" s="5">
        <f>+SUMIFS(окт!$L$2:$L$267,окт!$D$2:$D$267,"Ne Rezident",окт!$I$2:$I$267,СводкаРасходов24[[#This Row],[Нерезидент]])</f>
        <v>0</v>
      </c>
      <c r="L105" s="5"/>
      <c r="M105" s="5"/>
      <c r="N105" s="5">
        <f>SUM(СводкаРасходов24[[#This Row],[Январь]:[Декабрь]])</f>
        <v>0</v>
      </c>
      <c r="O105" s="6"/>
      <c r="P105" s="30">
        <f>IFERROR(+СводкаРасходов24[[#This Row],[Итог]]/СводкаРасходов24[[#Totals],[Итог]],0)</f>
        <v>0</v>
      </c>
    </row>
    <row r="106" spans="1:16" ht="16.8" hidden="1" x14ac:dyDescent="0.4">
      <c r="A106" s="23" t="s">
        <v>79</v>
      </c>
      <c r="B106" s="5">
        <f>+SUMIF(янв!$I$5:$I$150,СводкаРасходов24[[#This Row],[Нерезидент]],янв!$L$5:$L$150)</f>
        <v>0</v>
      </c>
      <c r="C106" s="5">
        <f>+SUMIF(фев!$I$4:$I$126,СводкаРасходов24[[#This Row],[Нерезидент]],фев!$L$4:$L$126)</f>
        <v>0</v>
      </c>
      <c r="D106" s="5">
        <f>+SUMIFS(мар!$L$5:$L$74,мар!$D$5:$D$74,мар!$D$5,мар!$I$5:$I$74,СводкаРасходов24[[#This Row],[Нерезидент]])</f>
        <v>0</v>
      </c>
      <c r="E106" s="5">
        <f>+SUMIF(апр!$I$5:$I$24,СводкаРасходов24[[#This Row],[Нерезидент]],апр!$L$5:$L$24)</f>
        <v>0</v>
      </c>
      <c r="F106" s="5">
        <f>+SUMIFS(май!$L$2:$L$32,май!$D$2:$D$32,май!$D$9,май!$I$2:$I$32,СводкаРасходов24[[#This Row],[Нерезидент]])</f>
        <v>0</v>
      </c>
      <c r="G106" s="5"/>
      <c r="H106" s="5">
        <f>+SUMIFS(июл!$L$2:$L$44,июл!$D$2:$D$44,"Ne Rezident",июл!$I$2:$I$44,СводкаРасходов24[[#This Row],[Нерезидент]])</f>
        <v>0</v>
      </c>
      <c r="I106" s="5">
        <f>+SUMIFS(авг!$L$2:$L$191,авг!$D$2:$D$191,"Ne Rezident",авг!$I$2:$I$191,СводкаРасходов24[[#This Row],[Нерезидент]])</f>
        <v>0</v>
      </c>
      <c r="J106" s="5">
        <f>+SUMIFS(сен!$L$2:$L$173,сен!$D$2:$D$173,"Ne Rezident",сен!$I$2:$I$173,СводкаРасходов24[[#This Row],[Нерезидент]])</f>
        <v>0</v>
      </c>
      <c r="K106" s="5">
        <f>+SUMIFS(окт!$L$2:$L$267,окт!$D$2:$D$267,"Ne Rezident",окт!$I$2:$I$267,СводкаРасходов24[[#This Row],[Нерезидент]])</f>
        <v>0</v>
      </c>
      <c r="L106" s="5"/>
      <c r="M106" s="5"/>
      <c r="N106" s="5">
        <f>SUM(СводкаРасходов24[[#This Row],[Январь]:[Декабрь]])</f>
        <v>0</v>
      </c>
      <c r="O106" s="6"/>
      <c r="P106" s="30">
        <f>IFERROR(+СводкаРасходов24[[#This Row],[Итог]]/СводкаРасходов24[[#Totals],[Итог]],0)</f>
        <v>0</v>
      </c>
    </row>
    <row r="107" spans="1:16" ht="16.8" hidden="1" x14ac:dyDescent="0.4">
      <c r="A107" s="23" t="s">
        <v>80</v>
      </c>
      <c r="B107" s="5">
        <f>+SUMIF(янв!$I$5:$I$150,СводкаРасходов24[[#This Row],[Нерезидент]],янв!$L$5:$L$150)</f>
        <v>0</v>
      </c>
      <c r="C107" s="5">
        <f>+SUMIF(фев!$I$4:$I$126,СводкаРасходов24[[#This Row],[Нерезидент]],фев!$L$4:$L$126)</f>
        <v>0</v>
      </c>
      <c r="D107" s="5">
        <f>+SUMIFS(мар!$L$5:$L$74,мар!$D$5:$D$74,мар!$D$5,мар!$I$5:$I$74,СводкаРасходов24[[#This Row],[Нерезидент]])</f>
        <v>0</v>
      </c>
      <c r="E107" s="5">
        <f>+SUMIF(апр!$I$5:$I$24,СводкаРасходов24[[#This Row],[Нерезидент]],апр!$L$5:$L$24)</f>
        <v>0</v>
      </c>
      <c r="F107" s="5">
        <f>+SUMIFS(май!$L$2:$L$32,май!$D$2:$D$32,май!$D$9,май!$I$2:$I$32,СводкаРасходов24[[#This Row],[Нерезидент]])</f>
        <v>0</v>
      </c>
      <c r="G107" s="5"/>
      <c r="H107" s="5">
        <f>+SUMIFS(июл!$L$2:$L$44,июл!$D$2:$D$44,"Ne Rezident",июл!$I$2:$I$44,СводкаРасходов24[[#This Row],[Нерезидент]])</f>
        <v>0</v>
      </c>
      <c r="I107" s="5">
        <f>+SUMIFS(авг!$L$2:$L$191,авг!$D$2:$D$191,"Ne Rezident",авг!$I$2:$I$191,СводкаРасходов24[[#This Row],[Нерезидент]])</f>
        <v>0</v>
      </c>
      <c r="J107" s="5">
        <f>+SUMIFS(сен!$L$2:$L$173,сен!$D$2:$D$173,"Ne Rezident",сен!$I$2:$I$173,СводкаРасходов24[[#This Row],[Нерезидент]])</f>
        <v>0</v>
      </c>
      <c r="K107" s="5">
        <f>+SUMIFS(окт!$L$2:$L$267,окт!$D$2:$D$267,"Ne Rezident",окт!$I$2:$I$267,СводкаРасходов24[[#This Row],[Нерезидент]])</f>
        <v>0</v>
      </c>
      <c r="L107" s="5"/>
      <c r="M107" s="5"/>
      <c r="N107" s="5">
        <f>SUM(СводкаРасходов24[[#This Row],[Январь]:[Декабрь]])</f>
        <v>0</v>
      </c>
      <c r="O107" s="6"/>
      <c r="P107" s="30">
        <f>IFERROR(+СводкаРасходов24[[#This Row],[Итог]]/СводкаРасходов24[[#Totals],[Итог]],0)</f>
        <v>0</v>
      </c>
    </row>
    <row r="108" spans="1:16" ht="16.8" x14ac:dyDescent="0.4">
      <c r="A108" s="23" t="s">
        <v>81</v>
      </c>
      <c r="B108" s="5">
        <f>+SUMIF(янв!$I$5:$I$150,СводкаРасходов24[[#This Row],[Нерезидент]],янв!$L$5:$L$150)</f>
        <v>3616287</v>
      </c>
      <c r="C108" s="5">
        <f>+SUMIF(фев!$I$4:$I$126,СводкаРасходов24[[#This Row],[Нерезидент]],фев!$L$4:$L$126)</f>
        <v>0</v>
      </c>
      <c r="D108" s="5">
        <f>+SUMIFS(мар!$L$5:$L$74,мар!$D$5:$D$74,мар!$D$5,мар!$I$5:$I$74,СводкаРасходов24[[#This Row],[Нерезидент]])</f>
        <v>2265627</v>
      </c>
      <c r="E108" s="5">
        <f>+SUMIF(апр!$I$5:$I$24,СводкаРасходов24[[#This Row],[Нерезидент]],апр!$L$5:$L$24)</f>
        <v>0</v>
      </c>
      <c r="F108" s="5">
        <f>+SUMIFS(май!$L$2:$L$32,май!$D$2:$D$32,май!$D$9,май!$I$2:$I$32,СводкаРасходов24[[#This Row],[Нерезидент]])</f>
        <v>0</v>
      </c>
      <c r="G108" s="5"/>
      <c r="H108" s="5">
        <f>+SUMIFS(июл!$L$2:$L$44,июл!$D$2:$D$44,"Ne Rezident",июл!$I$2:$I$44,СводкаРасходов24[[#This Row],[Нерезидент]])</f>
        <v>0</v>
      </c>
      <c r="I108" s="5">
        <f>+SUMIFS(авг!$L$2:$L$191,авг!$D$2:$D$191,"Ne Rezident",авг!$I$2:$I$191,СводкаРасходов24[[#This Row],[Нерезидент]])</f>
        <v>1712390</v>
      </c>
      <c r="J108" s="5">
        <f>+SUMIFS(сен!$L$2:$L$173,сен!$D$2:$D$173,"Ne Rezident",сен!$I$2:$I$173,СводкаРасходов24[[#This Row],[Нерезидент]])</f>
        <v>3165000</v>
      </c>
      <c r="K108" s="5">
        <f>+SUMIFS(окт!$L$2:$L$267,окт!$D$2:$D$267,"Ne Rezident",окт!$I$2:$I$267,СводкаРасходов24[[#This Row],[Нерезидент]])</f>
        <v>3712746</v>
      </c>
      <c r="L108" s="5"/>
      <c r="M108" s="5"/>
      <c r="N108" s="5">
        <f>SUM(СводкаРасходов24[[#This Row],[Январь]:[Декабрь]])</f>
        <v>14472050</v>
      </c>
      <c r="O108" s="6"/>
      <c r="P108" s="30">
        <f>IFERROR(+СводкаРасходов24[[#This Row],[Итог]]/СводкаРасходов24[[#Totals],[Итог]],0)</f>
        <v>2.9837646590652176E-3</v>
      </c>
    </row>
    <row r="109" spans="1:16" ht="16.8" hidden="1" x14ac:dyDescent="0.4">
      <c r="A109" s="23" t="s">
        <v>82</v>
      </c>
      <c r="B109" s="5">
        <f>+SUMIF(янв!$I$5:$I$150,СводкаРасходов24[[#This Row],[Нерезидент]],янв!$L$5:$L$150)</f>
        <v>0</v>
      </c>
      <c r="C109" s="5">
        <f>+SUMIF(фев!$I$4:$I$126,СводкаРасходов24[[#This Row],[Нерезидент]],фев!$L$4:$L$126)</f>
        <v>0</v>
      </c>
      <c r="D109" s="5">
        <f>+SUMIFS(мар!$L$5:$L$74,мар!$D$5:$D$74,мар!$D$5,мар!$I$5:$I$74,СводкаРасходов24[[#This Row],[Нерезидент]])</f>
        <v>0</v>
      </c>
      <c r="E109" s="5">
        <f>+SUMIF(апр!$I$5:$I$24,СводкаРасходов24[[#This Row],[Нерезидент]],апр!$L$5:$L$24)</f>
        <v>0</v>
      </c>
      <c r="F109" s="5">
        <f>+SUMIFS(май!$L$2:$L$32,май!$D$2:$D$32,май!$D$9,май!$I$2:$I$32,СводкаРасходов24[[#This Row],[Нерезидент]])</f>
        <v>0</v>
      </c>
      <c r="G109" s="5"/>
      <c r="H109" s="5">
        <f>+SUMIFS(июл!$L$2:$L$44,июл!$D$2:$D$44,"Ne Rezident",июл!$I$2:$I$44,СводкаРасходов24[[#This Row],[Нерезидент]])</f>
        <v>0</v>
      </c>
      <c r="I109" s="5">
        <f>+SUMIFS(авг!$L$2:$L$191,авг!$D$2:$D$191,"Ne Rezident",авг!$I$2:$I$191,СводкаРасходов24[[#This Row],[Нерезидент]])</f>
        <v>0</v>
      </c>
      <c r="J109" s="5">
        <f>+SUMIFS(сен!$L$2:$L$173,сен!$D$2:$D$173,"Ne Rezident",сен!$I$2:$I$173,СводкаРасходов24[[#This Row],[Нерезидент]])</f>
        <v>0</v>
      </c>
      <c r="K109" s="5">
        <f>+SUMIFS(окт!$L$2:$L$267,окт!$D$2:$D$267,"Ne Rezident",окт!$I$2:$I$267,СводкаРасходов24[[#This Row],[Нерезидент]])</f>
        <v>0</v>
      </c>
      <c r="L109" s="5"/>
      <c r="M109" s="5"/>
      <c r="N109" s="5">
        <f>SUM(СводкаРасходов24[[#This Row],[Январь]:[Декабрь]])</f>
        <v>0</v>
      </c>
      <c r="O109" s="6"/>
      <c r="P109" s="30">
        <f>IFERROR(+СводкаРасходов24[[#This Row],[Итог]]/СводкаРасходов24[[#Totals],[Итог]],0)</f>
        <v>0</v>
      </c>
    </row>
    <row r="110" spans="1:16" ht="16.8" hidden="1" x14ac:dyDescent="0.4">
      <c r="A110" s="23" t="s">
        <v>83</v>
      </c>
      <c r="B110" s="5">
        <f>+SUMIF(янв!$I$5:$I$150,СводкаРасходов24[[#This Row],[Нерезидент]],янв!$L$5:$L$150)</f>
        <v>0</v>
      </c>
      <c r="C110" s="5">
        <f>+SUMIF(фев!$I$4:$I$126,СводкаРасходов24[[#This Row],[Нерезидент]],фев!$L$4:$L$126)</f>
        <v>0</v>
      </c>
      <c r="D110" s="5">
        <f>+SUMIFS(мар!$L$5:$L$74,мар!$D$5:$D$74,мар!$D$5,мар!$I$5:$I$74,СводкаРасходов24[[#This Row],[Нерезидент]])</f>
        <v>0</v>
      </c>
      <c r="E110" s="5">
        <f>+SUMIF(апр!$I$5:$I$24,СводкаРасходов24[[#This Row],[Нерезидент]],апр!$L$5:$L$24)</f>
        <v>0</v>
      </c>
      <c r="F110" s="5">
        <f>+SUMIFS(май!$L$2:$L$32,май!$D$2:$D$32,май!$D$9,май!$I$2:$I$32,СводкаРасходов24[[#This Row],[Нерезидент]])</f>
        <v>0</v>
      </c>
      <c r="G110" s="5"/>
      <c r="H110" s="5">
        <f>+SUMIFS(июл!$L$2:$L$44,июл!$D$2:$D$44,"Ne Rezident",июл!$I$2:$I$44,СводкаРасходов24[[#This Row],[Нерезидент]])</f>
        <v>0</v>
      </c>
      <c r="I110" s="5">
        <f>+SUMIFS(авг!$L$2:$L$191,авг!$D$2:$D$191,"Ne Rezident",авг!$I$2:$I$191,СводкаРасходов24[[#This Row],[Нерезидент]])</f>
        <v>0</v>
      </c>
      <c r="J110" s="5">
        <f>+SUMIFS(сен!$L$2:$L$173,сен!$D$2:$D$173,"Ne Rezident",сен!$I$2:$I$173,СводкаРасходов24[[#This Row],[Нерезидент]])</f>
        <v>0</v>
      </c>
      <c r="K110" s="5">
        <f>+SUMIFS(окт!$L$2:$L$267,окт!$D$2:$D$267,"Ne Rezident",окт!$I$2:$I$267,СводкаРасходов24[[#This Row],[Нерезидент]])</f>
        <v>0</v>
      </c>
      <c r="L110" s="5"/>
      <c r="M110" s="5"/>
      <c r="N110" s="5">
        <f>SUM(СводкаРасходов24[[#This Row],[Январь]:[Декабрь]])</f>
        <v>0</v>
      </c>
      <c r="O110" s="6"/>
      <c r="P110" s="30">
        <f>IFERROR(+СводкаРасходов24[[#This Row],[Итог]]/СводкаРасходов24[[#Totals],[Итог]],0)</f>
        <v>0</v>
      </c>
    </row>
    <row r="111" spans="1:16" ht="16.8" x14ac:dyDescent="0.4">
      <c r="A111" s="23" t="s">
        <v>84</v>
      </c>
      <c r="B111" s="5">
        <f>+SUMIF(янв!$I$5:$I$150,СводкаРасходов24[[#This Row],[Нерезидент]],янв!$L$5:$L$150)</f>
        <v>2564122</v>
      </c>
      <c r="C111" s="5">
        <f>+SUMIF(фев!$I$4:$I$126,СводкаРасходов24[[#This Row],[Нерезидент]],фев!$L$4:$L$126)</f>
        <v>4134600</v>
      </c>
      <c r="D111" s="5">
        <f>+SUMIFS(мар!$L$5:$L$74,мар!$D$5:$D$74,мар!$D$5,мар!$I$5:$I$74,СводкаРасходов24[[#This Row],[Нерезидент]])</f>
        <v>2435393</v>
      </c>
      <c r="E111" s="5">
        <f>+SUMIF(апр!$I$5:$I$24,СводкаРасходов24[[#This Row],[Нерезидент]],апр!$L$5:$L$24)</f>
        <v>0</v>
      </c>
      <c r="F111" s="5">
        <f>+SUMIFS(май!$L$2:$L$32,май!$D$2:$D$32,май!$D$9,май!$I$2:$I$32,СводкаРасходов24[[#This Row],[Нерезидент]])</f>
        <v>0</v>
      </c>
      <c r="G111" s="5"/>
      <c r="H111" s="10">
        <f>+SUMIFS(июл!$L$2:$L$44,июл!$D$2:$D$44,"Ne Rezident",июл!$I$2:$I$44,СводкаРасходов24[[#This Row],[Нерезидент]])</f>
        <v>0</v>
      </c>
      <c r="I111" s="10">
        <f>+SUMIFS(авг!$L$2:$L$191,авг!$D$2:$D$191,"Ne Rezident",авг!$I$2:$I$191,СводкаРасходов24[[#This Row],[Нерезидент]])</f>
        <v>0</v>
      </c>
      <c r="J111" s="5">
        <f>+SUMIFS(сен!$L$2:$L$173,сен!$D$2:$D$173,"Ne Rezident",сен!$I$2:$I$173,СводкаРасходов24[[#This Row],[Нерезидент]])</f>
        <v>5712815</v>
      </c>
      <c r="K111" s="10">
        <f>+SUMIFS(окт!$L$2:$L$267,окт!$D$2:$D$267,"Ne Rezident",окт!$I$2:$I$267,СводкаРасходов24[[#This Row],[Нерезидент]])</f>
        <v>0</v>
      </c>
      <c r="L111" s="10"/>
      <c r="M111" s="5"/>
      <c r="N111" s="5">
        <f>SUM(СводкаРасходов24[[#This Row],[Январь]:[Декабрь]])</f>
        <v>14846930</v>
      </c>
      <c r="O111" s="6"/>
      <c r="P111" s="30">
        <f>IFERROR(+СводкаРасходов24[[#This Row],[Итог]]/СводкаРасходов24[[#Totals],[Итог]],0)</f>
        <v>3.061055277560204E-3</v>
      </c>
    </row>
    <row r="112" spans="1:16" ht="16.8" x14ac:dyDescent="0.4">
      <c r="A112" s="23" t="s">
        <v>85</v>
      </c>
      <c r="B112" s="5">
        <f>+SUMIF(янв!$I$5:$I$150,СводкаРасходов24[[#This Row],[Нерезидент]],янв!$L$5:$L$150)</f>
        <v>16250280</v>
      </c>
      <c r="C112" s="5">
        <f>+SUMIF(фев!$I$4:$I$126,СводкаРасходов24[[#This Row],[Нерезидент]],фев!$L$4:$L$126)</f>
        <v>39747088</v>
      </c>
      <c r="D112" s="5">
        <f>+SUMIFS(мар!$L$5:$L$74,мар!$D$5:$D$74,мар!$D$5,мар!$I$5:$I$74,СводкаРасходов24[[#This Row],[Нерезидент]])</f>
        <v>4782798</v>
      </c>
      <c r="E112" s="5">
        <f>+SUMIF(апр!$I$5:$I$24,СводкаРасходов24[[#This Row],[Нерезидент]],апр!$L$5:$L$24)</f>
        <v>42338</v>
      </c>
      <c r="F112" s="5">
        <f>+SUMIFS(май!$L$2:$L$32,май!$D$2:$D$32,май!$D$9,май!$I$2:$I$32,СводкаРасходов24[[#This Row],[Нерезидент]])</f>
        <v>0</v>
      </c>
      <c r="G112" s="5"/>
      <c r="H112" s="10">
        <f>+SUMIFS(июл!$L$2:$L$44,июл!$D$2:$D$44,"Ne Rezident",июл!$I$2:$I$44,СводкаРасходов24[[#This Row],[Нерезидент]])</f>
        <v>0</v>
      </c>
      <c r="I112" s="10">
        <f>+SUMIFS(авг!$L$2:$L$191,авг!$D$2:$D$191,"Ne Rezident",авг!$I$2:$I$191,СводкаРасходов24[[#This Row],[Нерезидент]])</f>
        <v>3200000</v>
      </c>
      <c r="J112" s="5">
        <f>+SUMIFS(сен!$L$2:$L$173,сен!$D$2:$D$173,"Ne Rezident",сен!$I$2:$I$173,СводкаРасходов24[[#This Row],[Нерезидент]])</f>
        <v>4090917</v>
      </c>
      <c r="K112" s="10">
        <f>+SUMIFS(окт!$L$2:$L$267,окт!$D$2:$D$267,"Ne Rezident",окт!$I$2:$I$267,СводкаРасходов24[[#This Row],[Нерезидент]])</f>
        <v>14649447</v>
      </c>
      <c r="L112" s="10"/>
      <c r="M112" s="5"/>
      <c r="N112" s="5">
        <f>SUM(СводкаРасходов24[[#This Row],[Январь]:[Декабрь]])</f>
        <v>82762868</v>
      </c>
      <c r="O112" s="6"/>
      <c r="P112" s="30">
        <f>IFERROR(+СводкаРасходов24[[#This Row],[Итог]]/СводкаРасходов24[[#Totals],[Итог]],0)</f>
        <v>1.7063575693925852E-2</v>
      </c>
    </row>
    <row r="113" spans="1:16" ht="16.8" hidden="1" x14ac:dyDescent="0.4">
      <c r="A113" s="23" t="s">
        <v>86</v>
      </c>
      <c r="B113" s="5">
        <f>+SUMIF(янв!$I$5:$I$150,СводкаРасходов24[[#This Row],[Нерезидент]],янв!$L$5:$L$150)</f>
        <v>0</v>
      </c>
      <c r="C113" s="5">
        <f>+SUMIF(фев!$I$4:$I$126,СводкаРасходов24[[#This Row],[Нерезидент]],фев!$L$4:$L$126)</f>
        <v>0</v>
      </c>
      <c r="D113" s="5">
        <f>+SUMIFS(мар!$L$5:$L$74,мар!$D$5:$D$74,мар!$D$5,мар!$I$5:$I$74,СводкаРасходов24[[#This Row],[Нерезидент]])</f>
        <v>0</v>
      </c>
      <c r="E113" s="5">
        <f>+SUMIF(апр!$I$5:$I$24,СводкаРасходов24[[#This Row],[Нерезидент]],апр!$L$5:$L$24)</f>
        <v>0</v>
      </c>
      <c r="F113" s="5">
        <f>+SUMIFS(май!$L$2:$L$32,май!$D$2:$D$32,май!$D$9,май!$I$2:$I$32,СводкаРасходов24[[#This Row],[Нерезидент]])</f>
        <v>0</v>
      </c>
      <c r="G113" s="5"/>
      <c r="H113" s="10">
        <f>+SUMIFS(июл!$L$2:$L$44,июл!$D$2:$D$44,"Ne Rezident",июл!$I$2:$I$44,СводкаРасходов24[[#This Row],[Нерезидент]])</f>
        <v>0</v>
      </c>
      <c r="I113" s="10">
        <f>+SUMIFS(авг!$L$2:$L$191,авг!$D$2:$D$191,"Ne Rezident",авг!$I$2:$I$191,СводкаРасходов24[[#This Row],[Нерезидент]])</f>
        <v>0</v>
      </c>
      <c r="J113" s="5">
        <f>+SUMIFS(сен!$L$2:$L$173,сен!$D$2:$D$173,"Ne Rezident",сен!$I$2:$I$173,СводкаРасходов24[[#This Row],[Нерезидент]])</f>
        <v>0</v>
      </c>
      <c r="K113" s="10">
        <f>+SUMIFS(окт!$L$2:$L$267,окт!$D$2:$D$267,"Ne Rezident",окт!$I$2:$I$267,СводкаРасходов24[[#This Row],[Нерезидент]])</f>
        <v>0</v>
      </c>
      <c r="L113" s="10"/>
      <c r="M113" s="5"/>
      <c r="N113" s="5">
        <f>SUM(СводкаРасходов24[[#This Row],[Январь]:[Декабрь]])</f>
        <v>0</v>
      </c>
      <c r="O113" s="6"/>
      <c r="P113" s="30">
        <f>IFERROR(+СводкаРасходов24[[#This Row],[Итог]]/СводкаРасходов24[[#Totals],[Итог]],0)</f>
        <v>0</v>
      </c>
    </row>
    <row r="114" spans="1:16" ht="16.8" hidden="1" x14ac:dyDescent="0.4">
      <c r="A114" s="23" t="s">
        <v>87</v>
      </c>
      <c r="B114" s="5">
        <f>+SUMIF(янв!$I$5:$I$150,СводкаРасходов24[[#This Row],[Нерезидент]],янв!$L$5:$L$150)</f>
        <v>0</v>
      </c>
      <c r="C114" s="5">
        <f>+SUMIF(фев!$I$4:$I$126,СводкаРасходов24[[#This Row],[Нерезидент]],фев!$L$4:$L$126)</f>
        <v>0</v>
      </c>
      <c r="D114" s="5">
        <f>+SUMIFS(мар!$L$5:$L$74,мар!$D$5:$D$74,мар!$D$5,мар!$I$5:$I$74,СводкаРасходов24[[#This Row],[Нерезидент]])</f>
        <v>0</v>
      </c>
      <c r="E114" s="5">
        <f>+SUMIF(апр!$I$5:$I$24,СводкаРасходов24[[#This Row],[Нерезидент]],апр!$L$5:$L$24)</f>
        <v>0</v>
      </c>
      <c r="F114" s="5">
        <f>+SUMIFS(май!$L$2:$L$32,май!$D$2:$D$32,май!$D$9,май!$I$2:$I$32,СводкаРасходов24[[#This Row],[Нерезидент]])</f>
        <v>0</v>
      </c>
      <c r="G114" s="5"/>
      <c r="H114" s="10">
        <f>+SUMIFS(июл!$L$2:$L$44,июл!$D$2:$D$44,"Ne Rezident",июл!$I$2:$I$44,СводкаРасходов24[[#This Row],[Нерезидент]])</f>
        <v>0</v>
      </c>
      <c r="I114" s="10">
        <f>+SUMIFS(авг!$L$2:$L$191,авг!$D$2:$D$191,"Ne Rezident",авг!$I$2:$I$191,СводкаРасходов24[[#This Row],[Нерезидент]])</f>
        <v>0</v>
      </c>
      <c r="J114" s="5">
        <f>+SUMIFS(сен!$L$2:$L$173,сен!$D$2:$D$173,"Ne Rezident",сен!$I$2:$I$173,СводкаРасходов24[[#This Row],[Нерезидент]])</f>
        <v>0</v>
      </c>
      <c r="K114" s="10">
        <f>+SUMIFS(окт!$L$2:$L$267,окт!$D$2:$D$267,"Ne Rezident",окт!$I$2:$I$267,СводкаРасходов24[[#This Row],[Нерезидент]])</f>
        <v>0</v>
      </c>
      <c r="L114" s="10"/>
      <c r="M114" s="5"/>
      <c r="N114" s="5">
        <f>SUM(СводкаРасходов24[[#This Row],[Январь]:[Декабрь]])</f>
        <v>0</v>
      </c>
      <c r="O114" s="6"/>
      <c r="P114" s="30">
        <f>IFERROR(+СводкаРасходов24[[#This Row],[Итог]]/СводкаРасходов24[[#Totals],[Итог]],0)</f>
        <v>0</v>
      </c>
    </row>
    <row r="115" spans="1:16" ht="16.8" hidden="1" x14ac:dyDescent="0.4">
      <c r="A115" s="23" t="s">
        <v>88</v>
      </c>
      <c r="B115" s="5">
        <f>+SUMIF(янв!$I$5:$I$150,СводкаРасходов24[[#This Row],[Нерезидент]],янв!$L$5:$L$150)</f>
        <v>0</v>
      </c>
      <c r="C115" s="5">
        <f>+SUMIF(фев!$I$4:$I$126,СводкаРасходов24[[#This Row],[Нерезидент]],фев!$L$4:$L$126)</f>
        <v>0</v>
      </c>
      <c r="D115" s="5">
        <f>+SUMIFS(мар!$L$5:$L$74,мар!$D$5:$D$74,мар!$D$5,мар!$I$5:$I$74,СводкаРасходов24[[#This Row],[Нерезидент]])</f>
        <v>0</v>
      </c>
      <c r="E115" s="5">
        <f>+SUMIF(апр!$I$5:$I$24,СводкаРасходов24[[#This Row],[Нерезидент]],апр!$L$5:$L$24)</f>
        <v>0</v>
      </c>
      <c r="F115" s="5">
        <f>+SUMIFS(май!$L$2:$L$32,май!$D$2:$D$32,май!$D$9,май!$I$2:$I$32,СводкаРасходов24[[#This Row],[Нерезидент]])</f>
        <v>0</v>
      </c>
      <c r="G115" s="5"/>
      <c r="H115" s="10">
        <f>+SUMIFS(июл!$L$2:$L$44,июл!$D$2:$D$44,"Ne Rezident",июл!$I$2:$I$44,СводкаРасходов24[[#This Row],[Нерезидент]])</f>
        <v>0</v>
      </c>
      <c r="I115" s="10">
        <f>+SUMIFS(авг!$L$2:$L$191,авг!$D$2:$D$191,"Ne Rezident",авг!$I$2:$I$191,СводкаРасходов24[[#This Row],[Нерезидент]])</f>
        <v>0</v>
      </c>
      <c r="J115" s="5">
        <f>+SUMIFS(сен!$L$2:$L$173,сен!$D$2:$D$173,"Ne Rezident",сен!$I$2:$I$173,СводкаРасходов24[[#This Row],[Нерезидент]])</f>
        <v>0</v>
      </c>
      <c r="K115" s="10">
        <f>+SUMIFS(окт!$L$2:$L$267,окт!$D$2:$D$267,"Ne Rezident",окт!$I$2:$I$267,СводкаРасходов24[[#This Row],[Нерезидент]])</f>
        <v>0</v>
      </c>
      <c r="L115" s="10"/>
      <c r="M115" s="5"/>
      <c r="N115" s="5">
        <f>SUM(СводкаРасходов24[[#This Row],[Январь]:[Декабрь]])</f>
        <v>0</v>
      </c>
      <c r="O115" s="6"/>
      <c r="P115" s="31">
        <f>IFERROR(+СводкаРасходов24[[#This Row],[Итог]]/СводкаРасходов24[[#Totals],[Итог]],0)</f>
        <v>0</v>
      </c>
    </row>
    <row r="116" spans="1:16" ht="16.8" hidden="1" x14ac:dyDescent="0.4">
      <c r="A116" s="23" t="s">
        <v>89</v>
      </c>
      <c r="B116" s="5">
        <f>+SUMIF(янв!$I$5:$I$150,СводкаРасходов24[[#This Row],[Нерезидент]],янв!$L$5:$L$150)</f>
        <v>0</v>
      </c>
      <c r="C116" s="5">
        <f>+SUMIF(фев!$I$4:$I$126,СводкаРасходов24[[#This Row],[Нерезидент]],фев!$L$4:$L$126)</f>
        <v>0</v>
      </c>
      <c r="D116" s="5">
        <f>+SUMIFS(мар!$L$5:$L$74,мар!$D$5:$D$74,мар!$D$5,мар!$I$5:$I$74,СводкаРасходов24[[#This Row],[Нерезидент]])</f>
        <v>0</v>
      </c>
      <c r="E116" s="5">
        <f>+SUMIF(апр!$I$5:$I$24,СводкаРасходов24[[#This Row],[Нерезидент]],апр!$L$5:$L$24)</f>
        <v>0</v>
      </c>
      <c r="F116" s="5">
        <f>+SUMIFS(май!$L$2:$L$32,май!$D$2:$D$32,май!$D$9,май!$I$2:$I$32,СводкаРасходов24[[#This Row],[Нерезидент]])</f>
        <v>0</v>
      </c>
      <c r="G116" s="5"/>
      <c r="H116" s="10">
        <f>+SUMIFS(июл!$L$2:$L$44,июл!$D$2:$D$44,"Ne Rezident",июл!$I$2:$I$44,СводкаРасходов24[[#This Row],[Нерезидент]])</f>
        <v>0</v>
      </c>
      <c r="I116" s="10">
        <f>+SUMIFS(авг!$L$2:$L$191,авг!$D$2:$D$191,"Ne Rezident",авг!$I$2:$I$191,СводкаРасходов24[[#This Row],[Нерезидент]])</f>
        <v>0</v>
      </c>
      <c r="J116" s="5">
        <f>+SUMIFS(сен!$L$2:$L$173,сен!$D$2:$D$173,"Ne Rezident",сен!$I$2:$I$173,СводкаРасходов24[[#This Row],[Нерезидент]])</f>
        <v>0</v>
      </c>
      <c r="K116" s="10">
        <f>+SUMIFS(окт!$L$2:$L$267,окт!$D$2:$D$267,"Ne Rezident",окт!$I$2:$I$267,СводкаРасходов24[[#This Row],[Нерезидент]])</f>
        <v>0</v>
      </c>
      <c r="L116" s="10"/>
      <c r="M116" s="5"/>
      <c r="N116" s="5">
        <f>SUM(СводкаРасходов24[[#This Row],[Январь]:[Декабрь]])</f>
        <v>0</v>
      </c>
      <c r="P116" s="31">
        <f>IFERROR(+СводкаРасходов24[[#This Row],[Итог]]/СводкаРасходов24[[#Totals],[Итог]],0)</f>
        <v>0</v>
      </c>
    </row>
    <row r="117" spans="1:16" ht="16.8" hidden="1" x14ac:dyDescent="0.4">
      <c r="A117" s="23" t="s">
        <v>90</v>
      </c>
      <c r="B117" s="5">
        <f>+SUMIF(янв!$I$5:$I$150,СводкаРасходов24[[#This Row],[Нерезидент]],янв!$L$5:$L$150)</f>
        <v>0</v>
      </c>
      <c r="C117" s="5">
        <f>+SUMIF(фев!$I$4:$I$126,СводкаРасходов24[[#This Row],[Нерезидент]],фев!$L$4:$L$126)</f>
        <v>0</v>
      </c>
      <c r="D117" s="5">
        <f>+SUMIFS(мар!$L$5:$L$74,мар!$D$5:$D$74,мар!$D$5,мар!$I$5:$I$74,СводкаРасходов24[[#This Row],[Нерезидент]])</f>
        <v>0</v>
      </c>
      <c r="E117" s="5">
        <f>+SUMIF(апр!$I$5:$I$24,СводкаРасходов24[[#This Row],[Нерезидент]],апр!$L$5:$L$24)</f>
        <v>0</v>
      </c>
      <c r="F117" s="5">
        <f>+SUMIFS(май!$L$2:$L$32,май!$D$2:$D$32,май!$D$9,май!$I$2:$I$32,СводкаРасходов24[[#This Row],[Нерезидент]])</f>
        <v>0</v>
      </c>
      <c r="G117" s="5"/>
      <c r="H117" s="10">
        <f>+SUMIFS(июл!$L$2:$L$44,июл!$D$2:$D$44,"Ne Rezident",июл!$I$2:$I$44,СводкаРасходов24[[#This Row],[Нерезидент]])</f>
        <v>0</v>
      </c>
      <c r="I117" s="10">
        <f>+SUMIFS(авг!$L$2:$L$191,авг!$D$2:$D$191,"Ne Rezident",авг!$I$2:$I$191,СводкаРасходов24[[#This Row],[Нерезидент]])</f>
        <v>0</v>
      </c>
      <c r="J117" s="5">
        <f>+SUMIFS(сен!$L$2:$L$173,сен!$D$2:$D$173,"Ne Rezident",сен!$I$2:$I$173,СводкаРасходов24[[#This Row],[Нерезидент]])</f>
        <v>0</v>
      </c>
      <c r="K117" s="10">
        <f>+SUMIFS(окт!$L$2:$L$267,окт!$D$2:$D$267,"Ne Rezident",окт!$I$2:$I$267,СводкаРасходов24[[#This Row],[Нерезидент]])</f>
        <v>0</v>
      </c>
      <c r="L117" s="10"/>
      <c r="M117" s="5"/>
      <c r="N117" s="5">
        <f>SUM(СводкаРасходов24[[#This Row],[Январь]:[Декабрь]])</f>
        <v>0</v>
      </c>
      <c r="P117" s="31">
        <f>IFERROR(+СводкаРасходов24[[#This Row],[Итог]]/СводкаРасходов24[[#Totals],[Итог]],0)</f>
        <v>0</v>
      </c>
    </row>
    <row r="118" spans="1:16" ht="16.8" x14ac:dyDescent="0.4">
      <c r="A118" s="23" t="s">
        <v>91</v>
      </c>
      <c r="B118" s="5">
        <f>+SUMIF(янв!$I$5:$I$150,СводкаРасходов24[[#This Row],[Нерезидент]],янв!$L$5:$L$150)</f>
        <v>35572888</v>
      </c>
      <c r="C118" s="5">
        <f>+SUMIF(фев!$I$4:$I$126,СводкаРасходов24[[#This Row],[Нерезидент]],фев!$L$4:$L$126)</f>
        <v>0</v>
      </c>
      <c r="D118" s="5">
        <f>+SUMIFS(мар!$L$5:$L$74,мар!$D$5:$D$74,мар!$D$5,мар!$I$5:$I$74,СводкаРасходов24[[#This Row],[Нерезидент]])</f>
        <v>0</v>
      </c>
      <c r="E118" s="5">
        <f>+SUMIF(апр!$I$5:$I$24,СводкаРасходов24[[#This Row],[Нерезидент]],апр!$L$5:$L$24)</f>
        <v>0</v>
      </c>
      <c r="F118" s="5">
        <f>+SUMIFS(май!$L$2:$L$32,май!$D$2:$D$32,май!$D$9,май!$I$2:$I$32,СводкаРасходов24[[#This Row],[Нерезидент]])</f>
        <v>0</v>
      </c>
      <c r="G118" s="5"/>
      <c r="H118" s="10">
        <f>+SUMIFS(июл!$L$2:$L$44,июл!$D$2:$D$44,"Ne Rezident",июл!$I$2:$I$44,СводкаРасходов24[[#This Row],[Нерезидент]])</f>
        <v>0</v>
      </c>
      <c r="I118" s="10">
        <f>+SUMIFS(авг!$L$2:$L$191,авг!$D$2:$D$191,"Ne Rezident",авг!$I$2:$I$191,СводкаРасходов24[[#This Row],[Нерезидент]])</f>
        <v>0</v>
      </c>
      <c r="J118" s="5">
        <f>+SUMIFS(сен!$L$2:$L$173,сен!$D$2:$D$173,"Ne Rezident",сен!$I$2:$I$173,СводкаРасходов24[[#This Row],[Нерезидент]])</f>
        <v>0</v>
      </c>
      <c r="K118" s="10">
        <f>+SUMIFS(окт!$L$2:$L$267,окт!$D$2:$D$267,"Ne Rezident",окт!$I$2:$I$267,СводкаРасходов24[[#This Row],[Нерезидент]])</f>
        <v>0</v>
      </c>
      <c r="L118" s="10"/>
      <c r="M118" s="5"/>
      <c r="N118" s="5">
        <f>SUM(СводкаРасходов24[[#This Row],[Январь]:[Декабрь]])</f>
        <v>35572888</v>
      </c>
      <c r="P118" s="31">
        <f>IFERROR(+СводкаРасходов24[[#This Row],[Итог]]/СводкаРасходов24[[#Totals],[Итог]],0)</f>
        <v>7.3342149892575807E-3</v>
      </c>
    </row>
    <row r="119" spans="1:16" ht="16.8" hidden="1" x14ac:dyDescent="0.4">
      <c r="A119" s="23" t="s">
        <v>92</v>
      </c>
      <c r="B119" s="5">
        <f>+SUMIF(янв!$I$5:$I$150,СводкаРасходов24[[#This Row],[Нерезидент]],янв!$L$5:$L$150)</f>
        <v>0</v>
      </c>
      <c r="C119" s="5">
        <f>+SUMIF(фев!$I$4:$I$126,СводкаРасходов24[[#This Row],[Нерезидент]],фев!$L$4:$L$126)</f>
        <v>0</v>
      </c>
      <c r="D119" s="5">
        <f>+SUMIFS(мар!$L$5:$L$74,мар!$D$5:$D$74,мар!$D$5,мар!$I$5:$I$74,СводкаРасходов24[[#This Row],[Нерезидент]])</f>
        <v>0</v>
      </c>
      <c r="E119" s="5">
        <f>+SUMIF(апр!$I$5:$I$24,СводкаРасходов24[[#This Row],[Нерезидент]],апр!$L$5:$L$24)</f>
        <v>0</v>
      </c>
      <c r="F119" s="5">
        <f>+SUMIFS(май!$L$2:$L$32,май!$D$2:$D$32,май!$D$9,май!$I$2:$I$32,СводкаРасходов24[[#This Row],[Нерезидент]])</f>
        <v>0</v>
      </c>
      <c r="G119" s="5"/>
      <c r="H119" s="10">
        <f>+SUMIFS(июл!$L$2:$L$44,июл!$D$2:$D$44,"Ne Rezident",июл!$I$2:$I$44,СводкаРасходов24[[#This Row],[Нерезидент]])</f>
        <v>0</v>
      </c>
      <c r="I119" s="10">
        <f>+SUMIFS(авг!$L$2:$L$191,авг!$D$2:$D$191,"Ne Rezident",авг!$I$2:$I$191,СводкаРасходов24[[#This Row],[Нерезидент]])</f>
        <v>0</v>
      </c>
      <c r="J119" s="5">
        <f>+SUMIFS(сен!$L$2:$L$173,сен!$D$2:$D$173,"Ne Rezident",сен!$I$2:$I$173,СводкаРасходов24[[#This Row],[Нерезидент]])</f>
        <v>0</v>
      </c>
      <c r="K119" s="10">
        <f>+SUMIFS(окт!$L$2:$L$267,окт!$D$2:$D$267,"Ne Rezident",окт!$I$2:$I$267,СводкаРасходов24[[#This Row],[Нерезидент]])</f>
        <v>0</v>
      </c>
      <c r="L119" s="10"/>
      <c r="M119" s="5"/>
      <c r="N119" s="5">
        <f>SUM(СводкаРасходов24[[#This Row],[Январь]:[Декабрь]])</f>
        <v>0</v>
      </c>
      <c r="P119" s="31">
        <f>IFERROR(+СводкаРасходов24[[#This Row],[Итог]]/СводкаРасходов24[[#Totals],[Итог]],0)</f>
        <v>0</v>
      </c>
    </row>
    <row r="120" spans="1:16" ht="16.8" hidden="1" x14ac:dyDescent="0.4">
      <c r="A120" s="23" t="s">
        <v>93</v>
      </c>
      <c r="B120" s="5">
        <f>+SUMIF(янв!$I$5:$I$150,СводкаРасходов24[[#This Row],[Нерезидент]],янв!$L$5:$L$150)</f>
        <v>0</v>
      </c>
      <c r="C120" s="5">
        <f>+SUMIF(фев!$I$4:$I$126,СводкаРасходов24[[#This Row],[Нерезидент]],фев!$L$4:$L$126)</f>
        <v>0</v>
      </c>
      <c r="D120" s="5">
        <f>+SUMIFS(мар!$L$5:$L$74,мар!$D$5:$D$74,мар!$D$5,мар!$I$5:$I$74,СводкаРасходов24[[#This Row],[Нерезидент]])</f>
        <v>0</v>
      </c>
      <c r="E120" s="5">
        <f>+SUMIF(апр!$I$5:$I$24,СводкаРасходов24[[#This Row],[Нерезидент]],апр!$L$5:$L$24)</f>
        <v>0</v>
      </c>
      <c r="F120" s="5">
        <f>+SUMIFS(май!$L$2:$L$32,май!$D$2:$D$32,май!$D$9,май!$I$2:$I$32,СводкаРасходов24[[#This Row],[Нерезидент]])</f>
        <v>0</v>
      </c>
      <c r="G120" s="5"/>
      <c r="H120" s="10">
        <f>+SUMIFS(июл!$L$2:$L$44,июл!$D$2:$D$44,"Ne Rezident",июл!$I$2:$I$44,СводкаРасходов24[[#This Row],[Нерезидент]])</f>
        <v>0</v>
      </c>
      <c r="I120" s="10">
        <f>+SUMIFS(авг!$L$2:$L$191,авг!$D$2:$D$191,"Ne Rezident",авг!$I$2:$I$191,СводкаРасходов24[[#This Row],[Нерезидент]])</f>
        <v>0</v>
      </c>
      <c r="J120" s="5">
        <f>+SUMIFS(сен!$L$2:$L$173,сен!$D$2:$D$173,"Ne Rezident",сен!$I$2:$I$173,СводкаРасходов24[[#This Row],[Нерезидент]])</f>
        <v>0</v>
      </c>
      <c r="K120" s="10">
        <f>+SUMIFS(окт!$L$2:$L$267,окт!$D$2:$D$267,"Ne Rezident",окт!$I$2:$I$267,СводкаРасходов24[[#This Row],[Нерезидент]])</f>
        <v>0</v>
      </c>
      <c r="L120" s="10"/>
      <c r="M120" s="5"/>
      <c r="N120" s="5">
        <f>SUM(СводкаРасходов24[[#This Row],[Январь]:[Декабрь]])</f>
        <v>0</v>
      </c>
      <c r="P120" s="31">
        <f>IFERROR(+СводкаРасходов24[[#This Row],[Итог]]/СводкаРасходов24[[#Totals],[Итог]],0)</f>
        <v>0</v>
      </c>
    </row>
    <row r="121" spans="1:16" ht="16.8" hidden="1" x14ac:dyDescent="0.4">
      <c r="A121" s="23" t="s">
        <v>94</v>
      </c>
      <c r="B121" s="5">
        <f>+SUMIF(янв!$I$5:$I$150,СводкаРасходов24[[#This Row],[Нерезидент]],янв!$L$5:$L$150)</f>
        <v>0</v>
      </c>
      <c r="C121" s="5">
        <f>+SUMIF(фев!$I$4:$I$126,СводкаРасходов24[[#This Row],[Нерезидент]],фев!$L$4:$L$126)</f>
        <v>0</v>
      </c>
      <c r="D121" s="5">
        <f>+SUMIFS(мар!$L$5:$L$74,мар!$D$5:$D$74,мар!$D$5,мар!$I$5:$I$74,СводкаРасходов24[[#This Row],[Нерезидент]])</f>
        <v>0</v>
      </c>
      <c r="E121" s="5">
        <f>+SUMIF(апр!$I$5:$I$24,СводкаРасходов24[[#This Row],[Нерезидент]],апр!$L$5:$L$24)</f>
        <v>0</v>
      </c>
      <c r="F121" s="5">
        <f>+SUMIFS(май!$L$2:$L$32,май!$D$2:$D$32,май!$D$9,май!$I$2:$I$32,СводкаРасходов24[[#This Row],[Нерезидент]])</f>
        <v>0</v>
      </c>
      <c r="G121" s="5"/>
      <c r="H121" s="10">
        <f>+SUMIFS(июл!$L$2:$L$44,июл!$D$2:$D$44,"Ne Rezident",июл!$I$2:$I$44,СводкаРасходов24[[#This Row],[Нерезидент]])</f>
        <v>0</v>
      </c>
      <c r="I121" s="10">
        <f>+SUMIFS(авг!$L$2:$L$191,авг!$D$2:$D$191,"Ne Rezident",авг!$I$2:$I$191,СводкаРасходов24[[#This Row],[Нерезидент]])</f>
        <v>0</v>
      </c>
      <c r="J121" s="5">
        <f>+SUMIFS(сен!$L$2:$L$173,сен!$D$2:$D$173,"Ne Rezident",сен!$I$2:$I$173,СводкаРасходов24[[#This Row],[Нерезидент]])</f>
        <v>0</v>
      </c>
      <c r="K121" s="10">
        <f>+SUMIFS(окт!$L$2:$L$267,окт!$D$2:$D$267,"Ne Rezident",окт!$I$2:$I$267,СводкаРасходов24[[#This Row],[Нерезидент]])</f>
        <v>0</v>
      </c>
      <c r="L121" s="10"/>
      <c r="M121" s="5"/>
      <c r="N121" s="5">
        <f>SUM(СводкаРасходов24[[#This Row],[Январь]:[Декабрь]])</f>
        <v>0</v>
      </c>
      <c r="P121" s="31">
        <f>IFERROR(+СводкаРасходов24[[#This Row],[Итог]]/СводкаРасходов24[[#Totals],[Итог]],0)</f>
        <v>0</v>
      </c>
    </row>
    <row r="122" spans="1:16" ht="16.8" x14ac:dyDescent="0.4">
      <c r="A122" s="23" t="s">
        <v>229</v>
      </c>
      <c r="B122" s="5">
        <f>+SUMIF(янв!$I$5:$I$150,СводкаРасходов24[[#This Row],[Нерезидент]],янв!$L$5:$L$150)</f>
        <v>6937862</v>
      </c>
      <c r="C122" s="5">
        <f>+SUMIF(фев!$I$4:$I$126,СводкаРасходов24[[#This Row],[Нерезидент]],фев!$L$4:$L$126)</f>
        <v>0</v>
      </c>
      <c r="D122" s="5">
        <f>+SUMIFS(мар!$L$5:$L$74,мар!$D$5:$D$74,мар!$D$5,мар!$I$5:$I$74,СводкаРасходов24[[#This Row],[Нерезидент]])</f>
        <v>0</v>
      </c>
      <c r="E122" s="5">
        <f>+SUMIF(апр!$I$5:$I$24,СводкаРасходов24[[#This Row],[Нерезидент]],апр!$L$5:$L$24)</f>
        <v>0</v>
      </c>
      <c r="F122" s="5">
        <f>+SUMIFS(май!$L$2:$L$32,май!$D$2:$D$32,май!$D$9,май!$I$2:$I$32,СводкаРасходов24[[#This Row],[Нерезидент]])</f>
        <v>0</v>
      </c>
      <c r="G122" s="5"/>
      <c r="H122" s="10">
        <f>+SUMIFS(июл!$L$2:$L$44,июл!$D$2:$D$44,"Ne Rezident",июл!$I$2:$I$44,СводкаРасходов24[[#This Row],[Нерезидент]])</f>
        <v>0</v>
      </c>
      <c r="I122" s="10">
        <f>+SUMIFS(авг!$L$2:$L$191,авг!$D$2:$D$191,"Ne Rezident",авг!$I$2:$I$191,СводкаРасходов24[[#This Row],[Нерезидент]])</f>
        <v>0</v>
      </c>
      <c r="J122" s="10">
        <f>+SUMIFS(сен!$L$2:$L$173,сен!$D$2:$D$173,"Ne Rezident",сен!$I$2:$I$173,СводкаРасходов24[[#This Row],[Нерезидент]])</f>
        <v>0</v>
      </c>
      <c r="K122" s="10">
        <f>+SUMIFS(окт!$L$2:$L$267,окт!$D$2:$D$267,"Ne Rezident",окт!$I$2:$I$267,СводкаРасходов24[[#This Row],[Нерезидент]])</f>
        <v>0</v>
      </c>
      <c r="L122" s="10"/>
      <c r="M122" s="5"/>
      <c r="N122" s="5">
        <f>SUM(СводкаРасходов24[[#This Row],[Январь]:[Декабрь]])</f>
        <v>6937862</v>
      </c>
      <c r="P122" s="31">
        <f>IFERROR(+СводкаРасходов24[[#This Row],[Итог]]/СводкаРасходов24[[#Totals],[Итог]],0)</f>
        <v>1.4304087841785738E-3</v>
      </c>
    </row>
    <row r="123" spans="1:16" ht="16.8" hidden="1" x14ac:dyDescent="0.4">
      <c r="A123" s="23" t="s">
        <v>95</v>
      </c>
      <c r="B123" s="5">
        <f>+SUMIF(янв!$I$5:$I$150,СводкаРасходов24[[#This Row],[Нерезидент]],янв!$L$5:$L$150)</f>
        <v>0</v>
      </c>
      <c r="C123" s="5">
        <f>+SUMIF(фев!$I$4:$I$126,СводкаРасходов24[[#This Row],[Нерезидент]],фев!$L$4:$L$126)</f>
        <v>0</v>
      </c>
      <c r="D123" s="5">
        <f>+SUMIFS(мар!$L$5:$L$74,мар!$D$5:$D$74,мар!$D$5,мар!$I$5:$I$74,СводкаРасходов24[[#This Row],[Нерезидент]])</f>
        <v>0</v>
      </c>
      <c r="E123" s="5">
        <f>+SUMIF(апр!$I$5:$I$24,СводкаРасходов24[[#This Row],[Нерезидент]],апр!$L$5:$L$24)</f>
        <v>0</v>
      </c>
      <c r="F123" s="5">
        <f>+SUMIFS(май!$L$2:$L$32,май!$D$2:$D$32,май!$D$9,май!$I$2:$I$32,СводкаРасходов24[[#This Row],[Нерезидент]])</f>
        <v>0</v>
      </c>
      <c r="G123" s="5"/>
      <c r="H123" s="10">
        <f>+SUMIFS(июл!$L$2:$L$44,июл!$D$2:$D$44,"Ne Rezident",июл!$I$2:$I$44,СводкаРасходов24[[#This Row],[Нерезидент]])</f>
        <v>0</v>
      </c>
      <c r="I123" s="10">
        <f>+SUMIFS(авг!$L$2:$L$191,авг!$D$2:$D$191,"Ne Rezident",авг!$I$2:$I$191,СводкаРасходов24[[#This Row],[Нерезидент]])</f>
        <v>0</v>
      </c>
      <c r="J123" s="5">
        <f>+SUMIFS(сен!$L$2:$L$173,сен!$D$2:$D$173,"Ne Rezident",сен!$I$2:$I$173,СводкаРасходов24[[#This Row],[Нерезидент]])</f>
        <v>0</v>
      </c>
      <c r="K123" s="10">
        <f>+SUMIFS(окт!$L$2:$L$267,окт!$D$2:$D$267,"Ne Rezident",окт!$I$2:$I$267,СводкаРасходов24[[#This Row],[Нерезидент]])</f>
        <v>0</v>
      </c>
      <c r="L123" s="10"/>
      <c r="M123" s="5"/>
      <c r="N123" s="5">
        <f>SUM(СводкаРасходов24[[#This Row],[Январь]:[Декабрь]])</f>
        <v>0</v>
      </c>
      <c r="P123" s="31">
        <f>IFERROR(+СводкаРасходов24[[#This Row],[Итог]]/СводкаРасходов24[[#Totals],[Итог]],0)</f>
        <v>0</v>
      </c>
    </row>
    <row r="124" spans="1:16" ht="16.8" hidden="1" x14ac:dyDescent="0.4">
      <c r="A124" s="23" t="s">
        <v>96</v>
      </c>
      <c r="B124" s="5">
        <f>+SUMIF(янв!$I$5:$I$150,СводкаРасходов24[[#This Row],[Нерезидент]],янв!$L$5:$L$150)</f>
        <v>0</v>
      </c>
      <c r="C124" s="5">
        <f>+SUMIF(фев!$I$4:$I$126,СводкаРасходов24[[#This Row],[Нерезидент]],фев!$L$4:$L$126)</f>
        <v>0</v>
      </c>
      <c r="D124" s="5">
        <f>+SUMIFS(мар!$L$5:$L$74,мар!$D$5:$D$74,мар!$D$5,мар!$I$5:$I$74,СводкаРасходов24[[#This Row],[Нерезидент]])</f>
        <v>0</v>
      </c>
      <c r="E124" s="5">
        <f>+SUMIF(апр!$I$5:$I$24,СводкаРасходов24[[#This Row],[Нерезидент]],апр!$L$5:$L$24)</f>
        <v>0</v>
      </c>
      <c r="F124" s="5">
        <f>+SUMIFS(май!$L$2:$L$32,май!$D$2:$D$32,май!$D$9,май!$I$2:$I$32,СводкаРасходов24[[#This Row],[Нерезидент]])</f>
        <v>0</v>
      </c>
      <c r="G124" s="5"/>
      <c r="H124" s="10">
        <f>+SUMIFS(июл!$L$2:$L$44,июл!$D$2:$D$44,"Ne Rezident",июл!$I$2:$I$44,СводкаРасходов24[[#This Row],[Нерезидент]])</f>
        <v>0</v>
      </c>
      <c r="I124" s="10">
        <f>+SUMIFS(авг!$L$2:$L$191,авг!$D$2:$D$191,"Ne Rezident",авг!$I$2:$I$191,СводкаРасходов24[[#This Row],[Нерезидент]])</f>
        <v>0</v>
      </c>
      <c r="J124" s="5">
        <f>+SUMIFS(сен!$L$2:$L$173,сен!$D$2:$D$173,"Ne Rezident",сен!$I$2:$I$173,СводкаРасходов24[[#This Row],[Нерезидент]])</f>
        <v>0</v>
      </c>
      <c r="K124" s="10">
        <f>+SUMIFS(окт!$L$2:$L$267,окт!$D$2:$D$267,"Ne Rezident",окт!$I$2:$I$267,СводкаРасходов24[[#This Row],[Нерезидент]])</f>
        <v>0</v>
      </c>
      <c r="L124" s="10"/>
      <c r="M124" s="5"/>
      <c r="N124" s="5">
        <f>SUM(СводкаРасходов24[[#This Row],[Январь]:[Декабрь]])</f>
        <v>0</v>
      </c>
      <c r="P124" s="31">
        <f>IFERROR(+СводкаРасходов24[[#This Row],[Итог]]/СводкаРасходов24[[#Totals],[Итог]],0)</f>
        <v>0</v>
      </c>
    </row>
    <row r="125" spans="1:16" ht="16.8" x14ac:dyDescent="0.4">
      <c r="A125" s="23" t="s">
        <v>97</v>
      </c>
      <c r="B125" s="5">
        <f>+SUMIF(янв!$I$5:$I$150,СводкаРасходов24[[#This Row],[Нерезидент]],янв!$L$5:$L$150)</f>
        <v>324737233</v>
      </c>
      <c r="C125" s="5">
        <f>+SUMIF(фев!$I$4:$I$126,СводкаРасходов24[[#This Row],[Нерезидент]],фев!$L$4:$L$126)</f>
        <v>319821934</v>
      </c>
      <c r="D125" s="5">
        <f>+SUMIFS(мар!$L$5:$L$74,мар!$D$5:$D$74,мар!$D$5,мар!$I$5:$I$74,СводкаРасходов24[[#This Row],[Нерезидент]])</f>
        <v>200172289</v>
      </c>
      <c r="E125" s="5">
        <f>+SUMIF(апр!$I$5:$I$24,СводкаРасходов24[[#This Row],[Нерезидент]],апр!$L$5:$L$24)</f>
        <v>94962000</v>
      </c>
      <c r="F125" s="5">
        <f>+SUMIFS(май!$L$2:$L$32,май!$D$2:$D$32,май!$D$9,май!$I$2:$I$32,СводкаРасходов24[[#This Row],[Нерезидент]])</f>
        <v>88561272</v>
      </c>
      <c r="G125" s="5">
        <f>+июн!L3+июн!L4+июн!L5+июн!L6</f>
        <v>18423168</v>
      </c>
      <c r="H125" s="10">
        <f>+SUMIFS(июл!$L$2:$L$44,июл!$D$2:$D$44,"Ne Rezident",июл!$I$2:$I$44,СводкаРасходов24[[#This Row],[Нерезидент]])</f>
        <v>211179391</v>
      </c>
      <c r="I125" s="10">
        <f>+SUMIFS(авг!$L$2:$L$191,авг!$D$2:$D$191,"Ne Rezident",авг!$I$2:$I$191,СводкаРасходов24[[#This Row],[Нерезидент]])</f>
        <v>1159782390</v>
      </c>
      <c r="J125" s="5">
        <f>+SUMIFS(сен!$L$2:$L$173,сен!$D$2:$D$173,"Ne Rezident",сен!$I$2:$I$173,СводкаРасходов24[[#This Row],[Нерезидент]])</f>
        <v>922258746.58000004</v>
      </c>
      <c r="K125" s="10">
        <f>+SUMIFS(окт!$L$2:$L$267,окт!$D$2:$D$267,"Ne Rezident",окт!$I$2:$I$267,СводкаРасходов24[[#This Row],[Нерезидент]])</f>
        <v>757039531</v>
      </c>
      <c r="L125" s="10"/>
      <c r="M125" s="5"/>
      <c r="N125" s="5">
        <f>SUM(СводкаРасходов24[[#This Row],[Январь]:[Декабрь]])</f>
        <v>4096937954.5799999</v>
      </c>
      <c r="P125" s="31">
        <f>IFERROR(+СводкаРасходов24[[#This Row],[Итог]]/СводкаРасходов24[[#Totals],[Итог]],0)</f>
        <v>0.84468328117016889</v>
      </c>
    </row>
    <row r="126" spans="1:16" ht="16.8" hidden="1" x14ac:dyDescent="0.4">
      <c r="A126" s="23" t="s">
        <v>98</v>
      </c>
      <c r="B126" s="5">
        <f>+SUMIF(янв!$I$5:$I$150,СводкаРасходов24[[#This Row],[Нерезидент]],янв!$L$5:$L$150)</f>
        <v>0</v>
      </c>
      <c r="C126" s="5">
        <f>+SUMIF(фев!$I$4:$I$126,СводкаРасходов24[[#This Row],[Нерезидент]],фев!$L$4:$L$126)</f>
        <v>0</v>
      </c>
      <c r="D126" s="5">
        <f>+SUMIFS(мар!$L$5:$L$74,мар!$D$5:$D$74,мар!$D$5,мар!$I$5:$I$74,СводкаРасходов24[[#This Row],[Нерезидент]])</f>
        <v>0</v>
      </c>
      <c r="E126" s="5">
        <f>+SUMIF(апр!$I$5:$I$24,СводкаРасходов24[[#This Row],[Нерезидент]],апр!$L$5:$L$24)</f>
        <v>0</v>
      </c>
      <c r="F126" s="5">
        <f>+SUMIFS(май!$L$2:$L$32,май!$D$2:$D$32,май!$D$9,май!$I$2:$I$32,СводкаРасходов24[[#This Row],[Нерезидент]])</f>
        <v>0</v>
      </c>
      <c r="G126" s="5"/>
      <c r="H126" s="10">
        <f>+SUMIFS(июл!$L$2:$L$44,июл!$D$2:$D$44,"Ne Rezident",июл!$I$2:$I$44,СводкаРасходов24[[#This Row],[Нерезидент]])</f>
        <v>0</v>
      </c>
      <c r="I126" s="10">
        <f>+SUMIFS(авг!$L$2:$L$191,авг!$D$2:$D$191,"Ne Rezident",авг!$I$2:$I$191,СводкаРасходов24[[#This Row],[Нерезидент]])</f>
        <v>0</v>
      </c>
      <c r="J126" s="5">
        <f>+SUMIFS(сен!$L$2:$L$173,сен!$D$2:$D$173,"Ne Rezident",сен!$I$2:$I$173,СводкаРасходов24[[#This Row],[Нерезидент]])</f>
        <v>0</v>
      </c>
      <c r="K126" s="10">
        <f>+SUMIFS(окт!$L$2:$L$267,окт!$D$2:$D$267,"Ne Rezident",окт!$I$2:$I$267,СводкаРасходов24[[#This Row],[Нерезидент]])</f>
        <v>0</v>
      </c>
      <c r="L126" s="10"/>
      <c r="M126" s="5"/>
      <c r="N126" s="5">
        <f>SUM(СводкаРасходов24[[#This Row],[Январь]:[Декабрь]])</f>
        <v>0</v>
      </c>
      <c r="P126" s="31">
        <f>IFERROR(+СводкаРасходов24[[#This Row],[Итог]]/СводкаРасходов24[[#Totals],[Итог]],0)</f>
        <v>0</v>
      </c>
    </row>
    <row r="127" spans="1:16" ht="16.8" hidden="1" x14ac:dyDescent="0.4">
      <c r="A127" s="23" t="s">
        <v>99</v>
      </c>
      <c r="B127" s="5">
        <f>+SUMIF(янв!$I$5:$I$150,СводкаРасходов24[[#This Row],[Нерезидент]],янв!$L$5:$L$150)</f>
        <v>0</v>
      </c>
      <c r="C127" s="5">
        <f>+SUMIF(фев!$I$4:$I$126,СводкаРасходов24[[#This Row],[Нерезидент]],фев!$L$4:$L$126)</f>
        <v>0</v>
      </c>
      <c r="D127" s="5">
        <f>+SUMIFS(мар!$L$5:$L$74,мар!$D$5:$D$74,мар!$D$5,мар!$I$5:$I$74,СводкаРасходов24[[#This Row],[Нерезидент]])</f>
        <v>0</v>
      </c>
      <c r="E127" s="5">
        <f>+SUMIF(апр!$I$5:$I$24,СводкаРасходов24[[#This Row],[Нерезидент]],апр!$L$5:$L$24)</f>
        <v>0</v>
      </c>
      <c r="F127" s="5">
        <f>+SUMIFS(май!$L$2:$L$32,май!$D$2:$D$32,май!$D$9,май!$I$2:$I$32,СводкаРасходов24[[#This Row],[Нерезидент]])</f>
        <v>0</v>
      </c>
      <c r="G127" s="5"/>
      <c r="H127" s="10">
        <f>+SUMIFS(июл!$L$2:$L$44,июл!$D$2:$D$44,"Ne Rezident",июл!$I$2:$I$44,СводкаРасходов24[[#This Row],[Нерезидент]])</f>
        <v>0</v>
      </c>
      <c r="I127" s="10">
        <f>+SUMIFS(авг!$L$2:$L$191,авг!$D$2:$D$191,"Ne Rezident",авг!$I$2:$I$191,СводкаРасходов24[[#This Row],[Нерезидент]])</f>
        <v>0</v>
      </c>
      <c r="J127" s="5">
        <f>+SUMIFS(сен!$L$2:$L$173,сен!$D$2:$D$173,"Ne Rezident",сен!$I$2:$I$173,СводкаРасходов24[[#This Row],[Нерезидент]])</f>
        <v>0</v>
      </c>
      <c r="K127" s="10">
        <f>+SUMIFS(окт!$L$2:$L$267,окт!$D$2:$D$267,"Ne Rezident",окт!$I$2:$I$267,СводкаРасходов24[[#This Row],[Нерезидент]])</f>
        <v>0</v>
      </c>
      <c r="L127" s="10"/>
      <c r="M127" s="5"/>
      <c r="N127" s="5">
        <f>SUM(СводкаРасходов24[[#This Row],[Январь]:[Декабрь]])</f>
        <v>0</v>
      </c>
      <c r="P127" s="31">
        <f>IFERROR(+СводкаРасходов24[[#This Row],[Итог]]/СводкаРасходов24[[#Totals],[Итог]],0)</f>
        <v>0</v>
      </c>
    </row>
    <row r="128" spans="1:16" ht="16.8" hidden="1" x14ac:dyDescent="0.4">
      <c r="A128" s="23" t="s">
        <v>100</v>
      </c>
      <c r="B128" s="5">
        <f>+SUMIF(янв!$I$5:$I$150,СводкаРасходов24[[#This Row],[Нерезидент]],янв!$L$5:$L$150)</f>
        <v>0</v>
      </c>
      <c r="C128" s="5">
        <f>+SUMIF(фев!$I$4:$I$126,СводкаРасходов24[[#This Row],[Нерезидент]],фев!$L$4:$L$126)</f>
        <v>0</v>
      </c>
      <c r="D128" s="5">
        <f>+SUMIFS(мар!$L$5:$L$74,мар!$D$5:$D$74,мар!$D$5,мар!$I$5:$I$74,СводкаРасходов24[[#This Row],[Нерезидент]])</f>
        <v>0</v>
      </c>
      <c r="E128" s="5">
        <f>+SUMIF(апр!$I$5:$I$24,СводкаРасходов24[[#This Row],[Нерезидент]],апр!$L$5:$L$24)</f>
        <v>0</v>
      </c>
      <c r="F128" s="5">
        <f>+SUMIFS(май!$L$2:$L$32,май!$D$2:$D$32,май!$D$9,май!$I$2:$I$32,СводкаРасходов24[[#This Row],[Нерезидент]])</f>
        <v>0</v>
      </c>
      <c r="G128" s="5"/>
      <c r="H128" s="10">
        <f>+SUMIFS(июл!$L$2:$L$44,июл!$D$2:$D$44,"Ne Rezident",июл!$I$2:$I$44,СводкаРасходов24[[#This Row],[Нерезидент]])</f>
        <v>0</v>
      </c>
      <c r="I128" s="10">
        <f>+SUMIFS(авг!$L$2:$L$191,авг!$D$2:$D$191,"Ne Rezident",авг!$I$2:$I$191,СводкаРасходов24[[#This Row],[Нерезидент]])</f>
        <v>0</v>
      </c>
      <c r="J128" s="5">
        <f>+SUMIFS(сен!$L$2:$L$173,сен!$D$2:$D$173,"Ne Rezident",сен!$I$2:$I$173,СводкаРасходов24[[#This Row],[Нерезидент]])</f>
        <v>0</v>
      </c>
      <c r="K128" s="10">
        <f>+SUMIFS(окт!$L$2:$L$267,окт!$D$2:$D$267,"Ne Rezident",окт!$I$2:$I$267,СводкаРасходов24[[#This Row],[Нерезидент]])</f>
        <v>0</v>
      </c>
      <c r="L128" s="10"/>
      <c r="M128" s="5"/>
      <c r="N128" s="5">
        <f>SUM(СводкаРасходов24[[#This Row],[Январь]:[Декабрь]])</f>
        <v>0</v>
      </c>
      <c r="P128" s="31">
        <f>IFERROR(+СводкаРасходов24[[#This Row],[Итог]]/СводкаРасходов24[[#Totals],[Итог]],0)</f>
        <v>0</v>
      </c>
    </row>
    <row r="129" spans="1:16" ht="16.8" x14ac:dyDescent="0.4">
      <c r="A129" s="23" t="s">
        <v>101</v>
      </c>
      <c r="B129" s="5">
        <f>+SUMIF(янв!$I$5:$I$150,СводкаРасходов24[[#This Row],[Нерезидент]],янв!$L$5:$L$150)</f>
        <v>48975945</v>
      </c>
      <c r="C129" s="5">
        <v>67140572</v>
      </c>
      <c r="D129" s="5">
        <f>+SUMIFS(мар!$L$5:$L$74,мар!$D$5:$D$74,мар!$D$5,мар!$I$5:$I$74,СводкаРасходов24[[#This Row],[Нерезидент]])</f>
        <v>0</v>
      </c>
      <c r="E129" s="5">
        <f>+SUMIF(апр!$I$5:$I$24,СводкаРасходов24[[#This Row],[Нерезидент]],апр!$L$5:$L$24)</f>
        <v>0</v>
      </c>
      <c r="F129" s="5">
        <f>+SUMIFS(май!$L$2:$L$32,май!$D$2:$D$32,май!$D$9,май!$I$2:$I$32,СводкаРасходов24[[#This Row],[Нерезидент]])</f>
        <v>0</v>
      </c>
      <c r="G129" s="5"/>
      <c r="H129" s="10">
        <f>+SUMIFS(июл!$L$2:$L$44,июл!$D$2:$D$44,"Ne Rezident",июл!$I$2:$I$44,СводкаРасходов24[[#This Row],[Нерезидент]])</f>
        <v>0</v>
      </c>
      <c r="I129" s="10">
        <f>+SUMIFS(авг!$L$2:$L$191,авг!$D$2:$D$191,"Ne Rezident",авг!$I$2:$I$191,СводкаРасходов24[[#This Row],[Нерезидент]])</f>
        <v>0</v>
      </c>
      <c r="J129" s="5">
        <f>+SUMIFS(сен!$L$2:$L$173,сен!$D$2:$D$173,"Ne Rezident",сен!$I$2:$I$173,СводкаРасходов24[[#This Row],[Нерезидент]])</f>
        <v>0</v>
      </c>
      <c r="K129" s="10">
        <f>+SUMIFS(окт!$L$2:$L$267,окт!$D$2:$D$267,"Ne Rezident",окт!$I$2:$I$267,СводкаРасходов24[[#This Row],[Нерезидент]])</f>
        <v>0</v>
      </c>
      <c r="L129" s="10"/>
      <c r="M129" s="5"/>
      <c r="N129" s="5">
        <f>SUM(СводкаРасходов24[[#This Row],[Январь]:[Декабрь]])</f>
        <v>116116517</v>
      </c>
      <c r="P129" s="31">
        <f>IFERROR(+СводкаРасходов24[[#This Row],[Итог]]/СводкаРасходов24[[#Totals],[Итог]],0)</f>
        <v>2.3940240654112273E-2</v>
      </c>
    </row>
    <row r="130" spans="1:16" ht="16.8" hidden="1" x14ac:dyDescent="0.4">
      <c r="A130" s="23" t="s">
        <v>102</v>
      </c>
      <c r="B130" s="5">
        <f>+SUMIF(янв!$I$5:$I$150,СводкаРасходов24[[#This Row],[Нерезидент]],янв!$L$5:$L$150)</f>
        <v>0</v>
      </c>
      <c r="C130" s="5">
        <f>+SUMIF(фев!$I$4:$I$126,СводкаРасходов24[[#This Row],[Нерезидент]],фев!$L$4:$L$126)</f>
        <v>0</v>
      </c>
      <c r="D130" s="5">
        <f>+SUMIFS(мар!$L$5:$L$74,мар!$D$5:$D$74,мар!$D$5,мар!$I$5:$I$74,СводкаРасходов24[[#This Row],[Нерезидент]])</f>
        <v>0</v>
      </c>
      <c r="E130" s="5">
        <f>+SUMIF(апр!$I$5:$I$24,СводкаРасходов24[[#This Row],[Нерезидент]],апр!$L$5:$L$24)</f>
        <v>0</v>
      </c>
      <c r="F130" s="5">
        <f>+SUMIFS(май!$L$2:$L$32,май!$D$2:$D$32,май!$D$9,май!$I$2:$I$32,СводкаРасходов24[[#This Row],[Нерезидент]])</f>
        <v>0</v>
      </c>
      <c r="G130" s="5"/>
      <c r="H130" s="10">
        <f>+SUMIFS(июл!$L$2:$L$44,июл!$D$2:$D$44,"Ne Rezident",июл!$I$2:$I$44,СводкаРасходов24[[#This Row],[Нерезидент]])</f>
        <v>0</v>
      </c>
      <c r="I130" s="10">
        <f>+SUMIFS(авг!$L$2:$L$191,авг!$D$2:$D$191,"Ne Rezident",авг!$I$2:$I$191,СводкаРасходов24[[#This Row],[Нерезидент]])</f>
        <v>0</v>
      </c>
      <c r="J130" s="5">
        <f>+SUMIFS(сен!$L$2:$L$173,сен!$D$2:$D$173,"Ne Rezident",сен!$I$2:$I$173,СводкаРасходов24[[#This Row],[Нерезидент]])</f>
        <v>0</v>
      </c>
      <c r="K130" s="10">
        <f>+SUMIFS(окт!$L$2:$L$267,окт!$D$2:$D$267,"Ne Rezident",окт!$I$2:$I$267,СводкаРасходов24[[#This Row],[Нерезидент]])</f>
        <v>0</v>
      </c>
      <c r="L130" s="10"/>
      <c r="M130" s="5"/>
      <c r="N130" s="5">
        <f>SUM(СводкаРасходов24[[#This Row],[Январь]:[Декабрь]])</f>
        <v>0</v>
      </c>
      <c r="P130" s="31">
        <f>IFERROR(+СводкаРасходов24[[#This Row],[Итог]]/СводкаРасходов24[[#Totals],[Итог]],0)</f>
        <v>0</v>
      </c>
    </row>
    <row r="131" spans="1:16" ht="30" customHeight="1" x14ac:dyDescent="0.4">
      <c r="A131" s="7"/>
      <c r="B131" s="137">
        <f>SUBTOTAL(109,СводкаРасходов24[Январь])</f>
        <v>534155158</v>
      </c>
      <c r="C131" s="137">
        <f>SUBTOTAL(109,СводкаРасходов24[Февраль])</f>
        <v>547572832</v>
      </c>
      <c r="D131" s="137">
        <f>SUBTOTAL(109,СводкаРасходов24[Март])</f>
        <v>266161067</v>
      </c>
      <c r="E131" s="137">
        <f>SUBTOTAL(109,СводкаРасходов24[Апрель])</f>
        <v>95004338</v>
      </c>
      <c r="F131" s="137">
        <f>SUBTOTAL(109,СводкаРасходов24[Май])</f>
        <v>88561272</v>
      </c>
      <c r="G131" s="137">
        <f>SUBTOTAL(109,СводкаРасходов24[Июнь])</f>
        <v>18423168</v>
      </c>
      <c r="H131" s="137">
        <f>SUBTOTAL(109,СводкаРасходов24[Июль])</f>
        <v>211179391</v>
      </c>
      <c r="I131" s="137">
        <f>SUBTOTAL(109,СводкаРасходов24[Август])</f>
        <v>1164694780</v>
      </c>
      <c r="J131" s="137">
        <f>SUBTOTAL(109,СводкаРасходов24[Сентябрь])</f>
        <v>1124181310.5799999</v>
      </c>
      <c r="K131" s="137">
        <f>SUBTOTAL(109,СводкаРасходов24[Октябрь])</f>
        <v>800331920</v>
      </c>
      <c r="L131" s="137">
        <f>SUBTOTAL(109,СводкаРасходов24[Ноябрь])</f>
        <v>0</v>
      </c>
      <c r="M131" s="137">
        <f>SUBTOTAL(109,СводкаРасходов24[Декабрь])</f>
        <v>0</v>
      </c>
      <c r="N131" s="8">
        <f>SUBTOTAL(109,СводкаРасходов24[Итог])</f>
        <v>4850265236.5799999</v>
      </c>
      <c r="P131" s="32">
        <f>SUBTOTAL(109,СводкаРасходов24[%])</f>
        <v>1</v>
      </c>
    </row>
    <row r="132" spans="1:16" ht="30" customHeight="1" x14ac:dyDescent="0.4">
      <c r="A132" s="209" t="s">
        <v>450</v>
      </c>
      <c r="B132" s="210">
        <v>125</v>
      </c>
      <c r="C132" s="210">
        <v>58</v>
      </c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1"/>
      <c r="O132" s="212"/>
      <c r="P132" s="213"/>
    </row>
    <row r="133" spans="1:16" ht="16.8" x14ac:dyDescent="0.4">
      <c r="A133" s="21" t="s">
        <v>103</v>
      </c>
      <c r="B133" s="21" t="s">
        <v>0</v>
      </c>
      <c r="C133" s="21" t="s">
        <v>1</v>
      </c>
      <c r="D133" s="21" t="s">
        <v>2</v>
      </c>
      <c r="E133" s="21" t="s">
        <v>3</v>
      </c>
      <c r="F133" s="21" t="s">
        <v>4</v>
      </c>
      <c r="G133" s="21" t="s">
        <v>5</v>
      </c>
      <c r="H133" s="21" t="s">
        <v>6</v>
      </c>
      <c r="I133" s="21" t="s">
        <v>7</v>
      </c>
      <c r="J133" s="21" t="s">
        <v>8</v>
      </c>
      <c r="K133" s="21" t="s">
        <v>9</v>
      </c>
      <c r="L133" s="21" t="s">
        <v>10</v>
      </c>
      <c r="M133" s="21" t="s">
        <v>11</v>
      </c>
      <c r="N133" s="21" t="s">
        <v>13</v>
      </c>
      <c r="O133" s="21" t="s">
        <v>12</v>
      </c>
      <c r="P133" s="21" t="s">
        <v>15</v>
      </c>
    </row>
    <row r="134" spans="1:16" ht="16.8" hidden="1" x14ac:dyDescent="0.4">
      <c r="A134" s="23" t="s">
        <v>43</v>
      </c>
      <c r="B134" s="5">
        <f>+SUMIF(янв!$I$151:$I$322,СводкаРасходов242[[#This Row],[Резидент]],янв!$L$151:$L$322)</f>
        <v>0</v>
      </c>
      <c r="C134" s="5">
        <f>+SUMIF(фев!$I$127:$I$231,СводкаРасходов242[[#This Row],[Резидент]],фев!$L$127:$L$231)</f>
        <v>0</v>
      </c>
      <c r="D134" s="5">
        <f>+SUMIFS(мар!$L$5:$L$74,мар!$D$5:$D$74,мар!$D$57,мар!$I$5:$I$74,СводкаРасходов242[[#This Row],[Резидент]])</f>
        <v>0</v>
      </c>
      <c r="E134" s="5"/>
      <c r="F134" s="5"/>
      <c r="G134" s="5"/>
      <c r="H134" s="5">
        <f>+SUMIFS(июл!$L$2:$L$44,июл!$D$2:$D$44,"Rezident",июл!$I$2:$I$44,СводкаРасходов242[[#This Row],[Резидент]])</f>
        <v>0</v>
      </c>
      <c r="I134" s="5">
        <f>+SUMIFS(авг!$L$2:$L$191,авг!$D$2:$D$191,"Rezident",авг!$I$2:$I$191,СводкаРасходов242[[#This Row],[Резидент]])</f>
        <v>0</v>
      </c>
      <c r="J134" s="5"/>
      <c r="K134" s="5">
        <f>+SUMIFS(окт!$L$2:$L$267,окт!$D$2:$D$267,"Rezident",окт!$I$2:$I$267,СводкаРасходов242[[#This Row],[Резидент]])</f>
        <v>0</v>
      </c>
      <c r="L134" s="5"/>
      <c r="M134" s="5"/>
      <c r="N134" s="5">
        <f>SUM(СводкаРасходов242[[#This Row],[Январь]:[Декабрь]])</f>
        <v>0</v>
      </c>
      <c r="O134" s="21"/>
      <c r="P134" s="155">
        <f>IFERROR(+СводкаРасходов242[[#This Row],[Итог]]/СводкаРасходов242[[#Totals],[Итог]],0)</f>
        <v>0</v>
      </c>
    </row>
    <row r="135" spans="1:16" ht="16.8" hidden="1" x14ac:dyDescent="0.4">
      <c r="A135" s="23" t="s">
        <v>44</v>
      </c>
      <c r="B135" s="5">
        <f>+SUMIF(янв!$I$151:$I$322,СводкаРасходов242[[#This Row],[Резидент]],янв!$L$151:$L$322)</f>
        <v>0</v>
      </c>
      <c r="C135" s="5">
        <f>+SUMIF(фев!$I$127:$I$231,СводкаРасходов242[[#This Row],[Резидент]],фев!$L$127:$L$231)</f>
        <v>0</v>
      </c>
      <c r="D135" s="5">
        <f>+SUMIFS(мар!$L$5:$L$74,мар!$D$5:$D$74,мар!$D$57,мар!$I$5:$I$74,СводкаРасходов242[[#This Row],[Резидент]])</f>
        <v>0</v>
      </c>
      <c r="E135" s="5"/>
      <c r="F135" s="5"/>
      <c r="G135" s="5"/>
      <c r="H135" s="5">
        <f>+SUMIFS(июл!$L$2:$L$44,июл!$D$2:$D$44,"Rezident",июл!$I$2:$I$44,СводкаРасходов242[[#This Row],[Резидент]])</f>
        <v>0</v>
      </c>
      <c r="I135" s="5">
        <f>+SUMIFS(авг!$L$2:$L$191,авг!$D$2:$D$191,"Rezident",авг!$I$2:$I$191,СводкаРасходов242[[#This Row],[Резидент]])</f>
        <v>0</v>
      </c>
      <c r="J135" s="5"/>
      <c r="K135" s="5">
        <f>+SUMIFS(окт!$L$2:$L$267,окт!$D$2:$D$267,"Rezident",окт!$I$2:$I$267,СводкаРасходов242[[#This Row],[Резидент]])</f>
        <v>0</v>
      </c>
      <c r="L135" s="5"/>
      <c r="M135" s="5"/>
      <c r="N135" s="5">
        <f>SUM(СводкаРасходов242[[#This Row],[Январь]:[Декабрь]])</f>
        <v>0</v>
      </c>
      <c r="O135" s="21"/>
      <c r="P135" s="155">
        <f>IFERROR(+СводкаРасходов242[[#This Row],[Итог]]/СводкаРасходов242[[#Totals],[Итог]],0)</f>
        <v>0</v>
      </c>
    </row>
    <row r="136" spans="1:16" ht="16.8" hidden="1" x14ac:dyDescent="0.4">
      <c r="A136" s="23" t="s">
        <v>45</v>
      </c>
      <c r="B136" s="5">
        <f>+SUMIF(янв!$I$151:$I$322,СводкаРасходов242[[#This Row],[Резидент]],янв!$L$151:$L$322)</f>
        <v>0</v>
      </c>
      <c r="C136" s="5">
        <f>+SUMIF(фев!$I$127:$I$231,СводкаРасходов242[[#This Row],[Резидент]],фев!$L$127:$L$231)</f>
        <v>0</v>
      </c>
      <c r="D136" s="5">
        <f>+SUMIFS(мар!$L$5:$L$74,мар!$D$5:$D$74,мар!$D$57,мар!$I$5:$I$74,СводкаРасходов242[[#This Row],[Резидент]])</f>
        <v>0</v>
      </c>
      <c r="E136" s="5"/>
      <c r="F136" s="5"/>
      <c r="G136" s="5"/>
      <c r="H136" s="5">
        <f>+SUMIFS(июл!$L$2:$L$44,июл!$D$2:$D$44,"Rezident",июл!$I$2:$I$44,СводкаРасходов242[[#This Row],[Резидент]])</f>
        <v>0</v>
      </c>
      <c r="I136" s="5">
        <f>+SUMIFS(авг!$L$2:$L$191,авг!$D$2:$D$191,"Rezident",авг!$I$2:$I$191,СводкаРасходов242[[#This Row],[Резидент]])</f>
        <v>0</v>
      </c>
      <c r="J136" s="5"/>
      <c r="K136" s="5">
        <f>+SUMIFS(окт!$L$2:$L$267,окт!$D$2:$D$267,"Rezident",окт!$I$2:$I$267,СводкаРасходов242[[#This Row],[Резидент]])</f>
        <v>0</v>
      </c>
      <c r="L136" s="5"/>
      <c r="M136" s="5"/>
      <c r="N136" s="5">
        <f>SUM(СводкаРасходов242[[#This Row],[Январь]:[Декабрь]])</f>
        <v>0</v>
      </c>
      <c r="O136" s="21"/>
      <c r="P136" s="155">
        <f>IFERROR(+СводкаРасходов242[[#This Row],[Итог]]/СводкаРасходов242[[#Totals],[Итог]],0)</f>
        <v>0</v>
      </c>
    </row>
    <row r="137" spans="1:16" ht="16.8" hidden="1" x14ac:dyDescent="0.4">
      <c r="A137" s="23" t="s">
        <v>46</v>
      </c>
      <c r="B137" s="5">
        <f>+SUMIF(янв!$I$151:$I$322,СводкаРасходов242[[#This Row],[Резидент]],янв!$L$151:$L$322)</f>
        <v>0</v>
      </c>
      <c r="C137" s="5">
        <f>+SUMIF(фев!$I$127:$I$231,СводкаРасходов242[[#This Row],[Резидент]],фев!$L$127:$L$231)</f>
        <v>0</v>
      </c>
      <c r="D137" s="5">
        <f>+SUMIFS(мар!$L$5:$L$74,мар!$D$5:$D$74,мар!$D$57,мар!$I$5:$I$74,СводкаРасходов242[[#This Row],[Резидент]])</f>
        <v>0</v>
      </c>
      <c r="E137" s="5"/>
      <c r="F137" s="5"/>
      <c r="G137" s="5"/>
      <c r="H137" s="5">
        <f>+SUMIFS(июл!$L$2:$L$44,июл!$D$2:$D$44,"Rezident",июл!$I$2:$I$44,СводкаРасходов242[[#This Row],[Резидент]])</f>
        <v>0</v>
      </c>
      <c r="I137" s="5">
        <f>+SUMIFS(авг!$L$2:$L$191,авг!$D$2:$D$191,"Rezident",авг!$I$2:$I$191,СводкаРасходов242[[#This Row],[Резидент]])</f>
        <v>0</v>
      </c>
      <c r="J137" s="5"/>
      <c r="K137" s="5">
        <f>+SUMIFS(окт!$L$2:$L$267,окт!$D$2:$D$267,"Rezident",окт!$I$2:$I$267,СводкаРасходов242[[#This Row],[Резидент]])</f>
        <v>0</v>
      </c>
      <c r="L137" s="5"/>
      <c r="M137" s="5"/>
      <c r="N137" s="5">
        <f>SUM(СводкаРасходов242[[#This Row],[Январь]:[Декабрь]])</f>
        <v>0</v>
      </c>
      <c r="O137" s="21"/>
      <c r="P137" s="155">
        <f>IFERROR(+СводкаРасходов242[[#This Row],[Итог]]/СводкаРасходов242[[#Totals],[Итог]],0)</f>
        <v>0</v>
      </c>
    </row>
    <row r="138" spans="1:16" ht="16.8" hidden="1" x14ac:dyDescent="0.4">
      <c r="A138" s="23" t="s">
        <v>47</v>
      </c>
      <c r="B138" s="5">
        <f>+SUMIF(янв!$I$151:$I$322,СводкаРасходов242[[#This Row],[Резидент]],янв!$L$151:$L$322)</f>
        <v>0</v>
      </c>
      <c r="C138" s="5">
        <f>+SUMIF(фев!$I$127:$I$231,СводкаРасходов242[[#This Row],[Резидент]],фев!$L$127:$L$231)</f>
        <v>0</v>
      </c>
      <c r="D138" s="5">
        <f>+SUMIFS(мар!$L$5:$L$74,мар!$D$5:$D$74,мар!$D$57,мар!$I$5:$I$74,СводкаРасходов242[[#This Row],[Резидент]])</f>
        <v>0</v>
      </c>
      <c r="E138" s="5"/>
      <c r="F138" s="5"/>
      <c r="G138" s="5"/>
      <c r="H138" s="5">
        <f>+SUMIFS(июл!$L$2:$L$44,июл!$D$2:$D$44,"Rezident",июл!$I$2:$I$44,СводкаРасходов242[[#This Row],[Резидент]])</f>
        <v>0</v>
      </c>
      <c r="I138" s="5">
        <f>+SUMIFS(авг!$L$2:$L$191,авг!$D$2:$D$191,"Rezident",авг!$I$2:$I$191,СводкаРасходов242[[#This Row],[Резидент]])</f>
        <v>0</v>
      </c>
      <c r="J138" s="5"/>
      <c r="K138" s="5">
        <f>+SUMIFS(окт!$L$2:$L$267,окт!$D$2:$D$267,"Rezident",окт!$I$2:$I$267,СводкаРасходов242[[#This Row],[Резидент]])</f>
        <v>0</v>
      </c>
      <c r="L138" s="5"/>
      <c r="M138" s="5"/>
      <c r="N138" s="5">
        <f>SUM(СводкаРасходов242[[#This Row],[Январь]:[Декабрь]])</f>
        <v>0</v>
      </c>
      <c r="O138" s="21"/>
      <c r="P138" s="155">
        <f>IFERROR(+СводкаРасходов242[[#This Row],[Итог]]/СводкаРасходов242[[#Totals],[Итог]],0)</f>
        <v>0</v>
      </c>
    </row>
    <row r="139" spans="1:16" ht="16.8" x14ac:dyDescent="0.4">
      <c r="A139" s="23" t="s">
        <v>48</v>
      </c>
      <c r="B139" s="5">
        <f>+SUMIF(янв!$I$151:$I$322,СводкаРасходов242[[#This Row],[Резидент]],янв!$L$151:$L$322)</f>
        <v>0</v>
      </c>
      <c r="C139" s="5">
        <v>7437134</v>
      </c>
      <c r="D139" s="5">
        <f>+SUMIFS(мар!$L$5:$L$74,мар!$D$5:$D$74,мар!$D$57,мар!$I$5:$I$74,СводкаРасходов242[[#This Row],[Резидент]])</f>
        <v>1048902</v>
      </c>
      <c r="E139" s="5"/>
      <c r="F139" s="5"/>
      <c r="G139" s="5"/>
      <c r="H139" s="5">
        <f>+SUMIFS(июл!$L$2:$L$44,июл!$D$2:$D$44,"Rezident",июл!$I$2:$I$44,СводкаРасходов242[[#This Row],[Резидент]])</f>
        <v>0</v>
      </c>
      <c r="I139" s="5">
        <f>+SUMIFS(авг!$L$2:$L$191,авг!$D$2:$D$191,"Rezident",авг!$I$2:$I$191,СводкаРасходов242[[#This Row],[Резидент]])</f>
        <v>0</v>
      </c>
      <c r="J139" s="5"/>
      <c r="K139" s="5">
        <f>+SUMIFS(окт!$L$2:$L$267,окт!$D$2:$D$267,"Rezident",окт!$I$2:$I$267,СводкаРасходов242[[#This Row],[Резидент]])</f>
        <v>0</v>
      </c>
      <c r="L139" s="5"/>
      <c r="M139" s="5"/>
      <c r="N139" s="5">
        <f>SUM(СводкаРасходов242[[#This Row],[Январь]:[Декабрь]])</f>
        <v>8486036</v>
      </c>
      <c r="O139" s="21"/>
      <c r="P139" s="155">
        <f>IFERROR(+СводкаРасходов242[[#This Row],[Итог]]/СводкаРасходов242[[#Totals],[Итог]],0)</f>
        <v>7.0757180684808433E-3</v>
      </c>
    </row>
    <row r="140" spans="1:16" ht="16.8" hidden="1" x14ac:dyDescent="0.4">
      <c r="A140" s="23" t="s">
        <v>49</v>
      </c>
      <c r="B140" s="5">
        <f>+SUMIF(янв!$I$151:$I$322,СводкаРасходов242[[#This Row],[Резидент]],янв!$L$151:$L$322)</f>
        <v>0</v>
      </c>
      <c r="C140" s="5">
        <f>+SUMIF(фев!$I$127:$I$231,СводкаРасходов242[[#This Row],[Резидент]],фев!$L$127:$L$231)</f>
        <v>0</v>
      </c>
      <c r="D140" s="5">
        <f>+SUMIFS(мар!$L$5:$L$74,мар!$D$5:$D$74,мар!$D$57,мар!$I$5:$I$74,СводкаРасходов242[[#This Row],[Резидент]])</f>
        <v>0</v>
      </c>
      <c r="E140" s="5"/>
      <c r="F140" s="5"/>
      <c r="G140" s="5"/>
      <c r="H140" s="5">
        <f>+SUMIFS(июл!$L$2:$L$44,июл!$D$2:$D$44,"Rezident",июл!$I$2:$I$44,СводкаРасходов242[[#This Row],[Резидент]])</f>
        <v>0</v>
      </c>
      <c r="I140" s="5">
        <f>+SUMIFS(авг!$L$2:$L$191,авг!$D$2:$D$191,"Rezident",авг!$I$2:$I$191,СводкаРасходов242[[#This Row],[Резидент]])</f>
        <v>0</v>
      </c>
      <c r="J140" s="5"/>
      <c r="K140" s="5">
        <f>+SUMIFS(окт!$L$2:$L$267,окт!$D$2:$D$267,"Rezident",окт!$I$2:$I$267,СводкаРасходов242[[#This Row],[Резидент]])</f>
        <v>0</v>
      </c>
      <c r="L140" s="5"/>
      <c r="M140" s="5"/>
      <c r="N140" s="5">
        <f>SUM(СводкаРасходов242[[#This Row],[Январь]:[Декабрь]])</f>
        <v>0</v>
      </c>
      <c r="O140" s="21"/>
      <c r="P140" s="155">
        <f>IFERROR(+СводкаРасходов242[[#This Row],[Итог]]/СводкаРасходов242[[#Totals],[Итог]],0)</f>
        <v>0</v>
      </c>
    </row>
    <row r="141" spans="1:16" ht="16.8" x14ac:dyDescent="0.4">
      <c r="A141" s="23" t="s">
        <v>50</v>
      </c>
      <c r="B141" s="5">
        <f>+SUMIF(янв!$I$151:$I$322,СводкаРасходов242[[#This Row],[Резидент]],янв!$L$151:$L$322)</f>
        <v>0</v>
      </c>
      <c r="C141" s="5">
        <f>+SUMIF(фев!$I$127:$I$231,СводкаРасходов242[[#This Row],[Резидент]],фев!$L$127:$L$231)</f>
        <v>0</v>
      </c>
      <c r="D141" s="5">
        <f>+SUMIFS(мар!$L$5:$L$74,мар!$D$5:$D$74,мар!$D$57,мар!$I$5:$I$74,СводкаРасходов242[[#This Row],[Резидент]])</f>
        <v>0</v>
      </c>
      <c r="E141" s="5"/>
      <c r="F141" s="5"/>
      <c r="G141" s="5"/>
      <c r="H141" s="5">
        <f>+SUMIFS(июл!$L$2:$L$44,июл!$D$2:$D$44,"Rezident",июл!$I$2:$I$44,СводкаРасходов242[[#This Row],[Резидент]])</f>
        <v>0</v>
      </c>
      <c r="I141" s="5">
        <f>+SUMIFS(авг!$L$2:$L$191,авг!$D$2:$D$191,"Rezident",авг!$I$2:$I$191,СводкаРасходов242[[#This Row],[Резидент]])</f>
        <v>0</v>
      </c>
      <c r="J141" s="5"/>
      <c r="K141" s="5">
        <f>+SUMIFS(окт!$L$2:$L$267,окт!$D$2:$D$267,"Rezident",окт!$I$2:$I$267,СводкаРасходов242[[#This Row],[Резидент]])</f>
        <v>5128482</v>
      </c>
      <c r="L141" s="5"/>
      <c r="M141" s="5"/>
      <c r="N141" s="5">
        <f>SUM(СводкаРасходов242[[#This Row],[Январь]:[Декабрь]])</f>
        <v>5128482</v>
      </c>
      <c r="O141" s="21"/>
      <c r="P141" s="155">
        <f>IFERROR(+СводкаРасходов242[[#This Row],[Итог]]/СводкаРасходов242[[#Totals],[Итог]],0)</f>
        <v>4.2761653086645845E-3</v>
      </c>
    </row>
    <row r="142" spans="1:16" ht="16.8" x14ac:dyDescent="0.4">
      <c r="A142" s="23" t="s">
        <v>51</v>
      </c>
      <c r="B142" s="5">
        <f>+SUMIF(янв!$I$151:$I$322,СводкаРасходов242[[#This Row],[Резидент]],янв!$L$151:$L$322)</f>
        <v>6639949</v>
      </c>
      <c r="C142" s="5">
        <v>63056924</v>
      </c>
      <c r="D142" s="5">
        <f>+SUMIFS(мар!$L$5:$L$74,мар!$D$5:$D$74,мар!$D$57,мар!$I$5:$I$74,СводкаРасходов242[[#This Row],[Резидент]])</f>
        <v>990000</v>
      </c>
      <c r="E142" s="5"/>
      <c r="F142" s="5"/>
      <c r="G142" s="5"/>
      <c r="H142" s="5">
        <f>+SUMIFS(июл!$L$2:$L$44,июл!$D$2:$D$44,"Rezident",июл!$I$2:$I$44,СводкаРасходов242[[#This Row],[Резидент]])</f>
        <v>0</v>
      </c>
      <c r="I142" s="5">
        <f>+SUMIFS(авг!$L$2:$L$191,авг!$D$2:$D$191,"Rezident",авг!$I$2:$I$191,СводкаРасходов242[[#This Row],[Резидент]])</f>
        <v>0</v>
      </c>
      <c r="J142" s="5"/>
      <c r="K142" s="5">
        <f>+SUMIFS(окт!$L$2:$L$267,окт!$D$2:$D$267,"Rezident",окт!$I$2:$I$267,СводкаРасходов242[[#This Row],[Резидент]])</f>
        <v>0</v>
      </c>
      <c r="L142" s="5"/>
      <c r="M142" s="5"/>
      <c r="N142" s="5">
        <f>SUM(СводкаРасходов242[[#This Row],[Январь]:[Декабрь]])</f>
        <v>70686873</v>
      </c>
      <c r="O142" s="21"/>
      <c r="P142" s="155">
        <f>IFERROR(+СводкаРасходов242[[#This Row],[Итог]]/СводкаРасходов242[[#Totals],[Итог]],0)</f>
        <v>5.8939224920859477E-2</v>
      </c>
    </row>
    <row r="143" spans="1:16" ht="16.8" hidden="1" x14ac:dyDescent="0.4">
      <c r="A143" s="23" t="s">
        <v>52</v>
      </c>
      <c r="B143" s="5">
        <f>+SUMIF(янв!$I$151:$I$322,СводкаРасходов242[[#This Row],[Резидент]],янв!$L$151:$L$322)</f>
        <v>0</v>
      </c>
      <c r="C143" s="5">
        <f>+SUMIF(фев!$I$127:$I$231,СводкаРасходов242[[#This Row],[Резидент]],фев!$L$127:$L$231)</f>
        <v>0</v>
      </c>
      <c r="D143" s="5">
        <f>+SUMIFS(мар!$L$5:$L$74,мар!$D$5:$D$74,мар!$D$57,мар!$I$5:$I$74,СводкаРасходов242[[#This Row],[Резидент]])</f>
        <v>0</v>
      </c>
      <c r="E143" s="5"/>
      <c r="F143" s="5"/>
      <c r="G143" s="5"/>
      <c r="H143" s="5">
        <f>+SUMIFS(июл!$L$2:$L$44,июл!$D$2:$D$44,"Rezident",июл!$I$2:$I$44,СводкаРасходов242[[#This Row],[Резидент]])</f>
        <v>0</v>
      </c>
      <c r="I143" s="5">
        <f>+SUMIFS(авг!$L$2:$L$191,авг!$D$2:$D$191,"Rezident",авг!$I$2:$I$191,СводкаРасходов242[[#This Row],[Резидент]])</f>
        <v>0</v>
      </c>
      <c r="J143" s="5"/>
      <c r="K143" s="5">
        <f>+SUMIFS(окт!$L$2:$L$267,окт!$D$2:$D$267,"Rezident",окт!$I$2:$I$267,СводкаРасходов242[[#This Row],[Резидент]])</f>
        <v>0</v>
      </c>
      <c r="L143" s="5"/>
      <c r="M143" s="5"/>
      <c r="N143" s="5">
        <f>SUM(СводкаРасходов242[[#This Row],[Январь]:[Декабрь]])</f>
        <v>0</v>
      </c>
      <c r="O143" s="21"/>
      <c r="P143" s="155">
        <f>IFERROR(+СводкаРасходов242[[#This Row],[Итог]]/СводкаРасходов242[[#Totals],[Итог]],0)</f>
        <v>0</v>
      </c>
    </row>
    <row r="144" spans="1:16" ht="16.8" hidden="1" x14ac:dyDescent="0.4">
      <c r="A144" s="23" t="s">
        <v>53</v>
      </c>
      <c r="B144" s="5">
        <f>+SUMIF(янв!$I$151:$I$322,СводкаРасходов242[[#This Row],[Резидент]],янв!$L$151:$L$322)</f>
        <v>0</v>
      </c>
      <c r="C144" s="5">
        <f>+SUMIF(фев!$I$127:$I$231,СводкаРасходов242[[#This Row],[Резидент]],фев!$L$127:$L$231)</f>
        <v>0</v>
      </c>
      <c r="D144" s="5">
        <f>+SUMIFS(мар!$L$5:$L$74,мар!$D$5:$D$74,мар!$D$57,мар!$I$5:$I$74,СводкаРасходов242[[#This Row],[Резидент]])</f>
        <v>0</v>
      </c>
      <c r="E144" s="5"/>
      <c r="F144" s="5"/>
      <c r="G144" s="5"/>
      <c r="H144" s="5">
        <f>+SUMIFS(июл!$L$2:$L$44,июл!$D$2:$D$44,"Rezident",июл!$I$2:$I$44,СводкаРасходов242[[#This Row],[Резидент]])</f>
        <v>0</v>
      </c>
      <c r="I144" s="5">
        <f>+SUMIFS(авг!$L$2:$L$191,авг!$D$2:$D$191,"Rezident",авг!$I$2:$I$191,СводкаРасходов242[[#This Row],[Резидент]])</f>
        <v>0</v>
      </c>
      <c r="J144" s="5"/>
      <c r="K144" s="5">
        <f>+SUMIFS(окт!$L$2:$L$267,окт!$D$2:$D$267,"Rezident",окт!$I$2:$I$267,СводкаРасходов242[[#This Row],[Резидент]])</f>
        <v>0</v>
      </c>
      <c r="L144" s="5"/>
      <c r="M144" s="5"/>
      <c r="N144" s="5">
        <f>SUM(СводкаРасходов242[[#This Row],[Январь]:[Декабрь]])</f>
        <v>0</v>
      </c>
      <c r="O144" s="21"/>
      <c r="P144" s="155">
        <f>IFERROR(+СводкаРасходов242[[#This Row],[Итог]]/СводкаРасходов242[[#Totals],[Итог]],0)</f>
        <v>0</v>
      </c>
    </row>
    <row r="145" spans="1:16" ht="16.8" hidden="1" x14ac:dyDescent="0.4">
      <c r="A145" s="23" t="s">
        <v>54</v>
      </c>
      <c r="B145" s="5">
        <f>+SUMIF(янв!$I$151:$I$322,СводкаРасходов242[[#This Row],[Резидент]],янв!$L$151:$L$322)</f>
        <v>0</v>
      </c>
      <c r="C145" s="5">
        <f>+SUMIF(фев!$I$127:$I$231,СводкаРасходов242[[#This Row],[Резидент]],фев!$L$127:$L$231)</f>
        <v>0</v>
      </c>
      <c r="D145" s="5">
        <f>+SUMIFS(мар!$L$5:$L$74,мар!$D$5:$D$74,мар!$D$57,мар!$I$5:$I$74,СводкаРасходов242[[#This Row],[Резидент]])</f>
        <v>0</v>
      </c>
      <c r="E145" s="5"/>
      <c r="F145" s="5"/>
      <c r="G145" s="5"/>
      <c r="H145" s="5">
        <f>+SUMIFS(июл!$L$2:$L$44,июл!$D$2:$D$44,"Rezident",июл!$I$2:$I$44,СводкаРасходов242[[#This Row],[Резидент]])</f>
        <v>0</v>
      </c>
      <c r="I145" s="5">
        <f>+SUMIFS(авг!$L$2:$L$191,авг!$D$2:$D$191,"Rezident",авг!$I$2:$I$191,СводкаРасходов242[[#This Row],[Резидент]])</f>
        <v>0</v>
      </c>
      <c r="J145" s="5"/>
      <c r="K145" s="5">
        <f>+SUMIFS(окт!$L$2:$L$267,окт!$D$2:$D$267,"Rezident",окт!$I$2:$I$267,СводкаРасходов242[[#This Row],[Резидент]])</f>
        <v>0</v>
      </c>
      <c r="L145" s="5"/>
      <c r="M145" s="5"/>
      <c r="N145" s="5">
        <f>SUM(СводкаРасходов242[[#This Row],[Январь]:[Декабрь]])</f>
        <v>0</v>
      </c>
      <c r="O145" s="21"/>
      <c r="P145" s="155">
        <f>IFERROR(+СводкаРасходов242[[#This Row],[Итог]]/СводкаРасходов242[[#Totals],[Итог]],0)</f>
        <v>0</v>
      </c>
    </row>
    <row r="146" spans="1:16" ht="16.8" hidden="1" x14ac:dyDescent="0.4">
      <c r="A146" s="23" t="s">
        <v>55</v>
      </c>
      <c r="B146" s="5">
        <f>+SUMIF(янв!$I$151:$I$322,СводкаРасходов242[[#This Row],[Резидент]],янв!$L$151:$L$322)</f>
        <v>0</v>
      </c>
      <c r="C146" s="5">
        <f>+SUMIF(фев!$I$127:$I$231,СводкаРасходов242[[#This Row],[Резидент]],фев!$L$127:$L$231)</f>
        <v>0</v>
      </c>
      <c r="D146" s="5">
        <f>+SUMIFS(мар!$L$5:$L$74,мар!$D$5:$D$74,мар!$D$57,мар!$I$5:$I$74,СводкаРасходов242[[#This Row],[Резидент]])</f>
        <v>0</v>
      </c>
      <c r="E146" s="5"/>
      <c r="F146" s="5"/>
      <c r="G146" s="5"/>
      <c r="H146" s="5">
        <f>+SUMIFS(июл!$L$2:$L$44,июл!$D$2:$D$44,"Rezident",июл!$I$2:$I$44,СводкаРасходов242[[#This Row],[Резидент]])</f>
        <v>0</v>
      </c>
      <c r="I146" s="5">
        <f>+SUMIFS(авг!$L$2:$L$191,авг!$D$2:$D$191,"Rezident",авг!$I$2:$I$191,СводкаРасходов242[[#This Row],[Резидент]])</f>
        <v>0</v>
      </c>
      <c r="J146" s="5"/>
      <c r="K146" s="5">
        <f>+SUMIFS(окт!$L$2:$L$267,окт!$D$2:$D$267,"Rezident",окт!$I$2:$I$267,СводкаРасходов242[[#This Row],[Резидент]])</f>
        <v>0</v>
      </c>
      <c r="L146" s="5"/>
      <c r="M146" s="5"/>
      <c r="N146" s="5">
        <f>SUM(СводкаРасходов242[[#This Row],[Январь]:[Декабрь]])</f>
        <v>0</v>
      </c>
      <c r="O146" s="21"/>
      <c r="P146" s="155">
        <f>IFERROR(+СводкаРасходов242[[#This Row],[Итог]]/СводкаРасходов242[[#Totals],[Итог]],0)</f>
        <v>0</v>
      </c>
    </row>
    <row r="147" spans="1:16" ht="16.8" hidden="1" x14ac:dyDescent="0.4">
      <c r="A147" s="23" t="s">
        <v>56</v>
      </c>
      <c r="B147" s="5">
        <f>+SUMIF(янв!$I$151:$I$322,СводкаРасходов242[[#This Row],[Резидент]],янв!$L$151:$L$322)</f>
        <v>0</v>
      </c>
      <c r="C147" s="5">
        <f>+SUMIF(фев!$I$127:$I$231,СводкаРасходов242[[#This Row],[Резидент]],фев!$L$127:$L$231)</f>
        <v>0</v>
      </c>
      <c r="D147" s="5">
        <f>+SUMIFS(мар!$L$5:$L$74,мар!$D$5:$D$74,мар!$D$57,мар!$I$5:$I$74,СводкаРасходов242[[#This Row],[Резидент]])</f>
        <v>0</v>
      </c>
      <c r="E147" s="5"/>
      <c r="F147" s="5"/>
      <c r="G147" s="5"/>
      <c r="H147" s="5">
        <f>+SUMIFS(июл!$L$2:$L$44,июл!$D$2:$D$44,"Rezident",июл!$I$2:$I$44,СводкаРасходов242[[#This Row],[Резидент]])</f>
        <v>0</v>
      </c>
      <c r="I147" s="5">
        <f>+SUMIFS(авг!$L$2:$L$191,авг!$D$2:$D$191,"Rezident",авг!$I$2:$I$191,СводкаРасходов242[[#This Row],[Резидент]])</f>
        <v>0</v>
      </c>
      <c r="J147" s="5"/>
      <c r="K147" s="5">
        <f>+SUMIFS(окт!$L$2:$L$267,окт!$D$2:$D$267,"Rezident",окт!$I$2:$I$267,СводкаРасходов242[[#This Row],[Резидент]])</f>
        <v>0</v>
      </c>
      <c r="L147" s="5"/>
      <c r="M147" s="5"/>
      <c r="N147" s="5">
        <f>SUM(СводкаРасходов242[[#This Row],[Январь]:[Декабрь]])</f>
        <v>0</v>
      </c>
      <c r="O147" s="21"/>
      <c r="P147" s="155">
        <f>IFERROR(+СводкаРасходов242[[#This Row],[Итог]]/СводкаРасходов242[[#Totals],[Итог]],0)</f>
        <v>0</v>
      </c>
    </row>
    <row r="148" spans="1:16" ht="16.8" hidden="1" x14ac:dyDescent="0.4">
      <c r="A148" s="23" t="s">
        <v>57</v>
      </c>
      <c r="B148" s="5">
        <f>+SUMIF(янв!$I$151:$I$322,СводкаРасходов242[[#This Row],[Резидент]],янв!$L$151:$L$322)</f>
        <v>0</v>
      </c>
      <c r="C148" s="5">
        <f>+SUMIF(фев!$I$127:$I$231,СводкаРасходов242[[#This Row],[Резидент]],фев!$L$127:$L$231)</f>
        <v>0</v>
      </c>
      <c r="D148" s="5">
        <f>+SUMIFS(мар!$L$5:$L$74,мар!$D$5:$D$74,мар!$D$57,мар!$I$5:$I$74,СводкаРасходов242[[#This Row],[Резидент]])</f>
        <v>0</v>
      </c>
      <c r="E148" s="5"/>
      <c r="F148" s="5"/>
      <c r="G148" s="5"/>
      <c r="H148" s="5">
        <f>+SUMIFS(июл!$L$2:$L$44,июл!$D$2:$D$44,"Rezident",июл!$I$2:$I$44,СводкаРасходов242[[#This Row],[Резидент]])</f>
        <v>0</v>
      </c>
      <c r="I148" s="5">
        <f>+SUMIFS(авг!$L$2:$L$191,авг!$D$2:$D$191,"Rezident",авг!$I$2:$I$191,СводкаРасходов242[[#This Row],[Резидент]])</f>
        <v>0</v>
      </c>
      <c r="J148" s="5"/>
      <c r="K148" s="5">
        <f>+SUMIFS(окт!$L$2:$L$267,окт!$D$2:$D$267,"Rezident",окт!$I$2:$I$267,СводкаРасходов242[[#This Row],[Резидент]])</f>
        <v>0</v>
      </c>
      <c r="L148" s="5"/>
      <c r="M148" s="5"/>
      <c r="N148" s="5">
        <f>SUM(СводкаРасходов242[[#This Row],[Январь]:[Декабрь]])</f>
        <v>0</v>
      </c>
      <c r="O148" s="21"/>
      <c r="P148" s="155">
        <f>IFERROR(+СводкаРасходов242[[#This Row],[Итог]]/СводкаРасходов242[[#Totals],[Итог]],0)</f>
        <v>0</v>
      </c>
    </row>
    <row r="149" spans="1:16" ht="16.8" hidden="1" x14ac:dyDescent="0.4">
      <c r="A149" s="23" t="s">
        <v>58</v>
      </c>
      <c r="B149" s="5">
        <f>+SUMIF(янв!$I$151:$I$322,СводкаРасходов242[[#This Row],[Резидент]],янв!$L$151:$L$322)</f>
        <v>0</v>
      </c>
      <c r="C149" s="5">
        <f>+SUMIF(фев!$I$127:$I$231,СводкаРасходов242[[#This Row],[Резидент]],фев!$L$127:$L$231)</f>
        <v>0</v>
      </c>
      <c r="D149" s="5">
        <f>+SUMIFS(мар!$L$5:$L$74,мар!$D$5:$D$74,мар!$D$57,мар!$I$5:$I$74,СводкаРасходов242[[#This Row],[Резидент]])</f>
        <v>0</v>
      </c>
      <c r="E149" s="5"/>
      <c r="F149" s="5"/>
      <c r="G149" s="5"/>
      <c r="H149" s="5">
        <f>+SUMIFS(июл!$L$2:$L$44,июл!$D$2:$D$44,"Rezident",июл!$I$2:$I$44,СводкаРасходов242[[#This Row],[Резидент]])</f>
        <v>0</v>
      </c>
      <c r="I149" s="5">
        <f>+SUMIFS(авг!$L$2:$L$191,авг!$D$2:$D$191,"Rezident",авг!$I$2:$I$191,СводкаРасходов242[[#This Row],[Резидент]])</f>
        <v>0</v>
      </c>
      <c r="J149" s="5"/>
      <c r="K149" s="5">
        <f>+SUMIFS(окт!$L$2:$L$267,окт!$D$2:$D$267,"Rezident",окт!$I$2:$I$267,СводкаРасходов242[[#This Row],[Резидент]])</f>
        <v>0</v>
      </c>
      <c r="L149" s="5"/>
      <c r="M149" s="5"/>
      <c r="N149" s="5">
        <f>SUM(СводкаРасходов242[[#This Row],[Январь]:[Декабрь]])</f>
        <v>0</v>
      </c>
      <c r="O149" s="21"/>
      <c r="P149" s="155">
        <f>IFERROR(+СводкаРасходов242[[#This Row],[Итог]]/СводкаРасходов242[[#Totals],[Итог]],0)</f>
        <v>0</v>
      </c>
    </row>
    <row r="150" spans="1:16" ht="16.8" hidden="1" x14ac:dyDescent="0.4">
      <c r="A150" s="23" t="s">
        <v>59</v>
      </c>
      <c r="B150" s="5">
        <f>+SUMIF(янв!$I$151:$I$322,СводкаРасходов242[[#This Row],[Резидент]],янв!$L$151:$L$322)</f>
        <v>0</v>
      </c>
      <c r="C150" s="5">
        <f>+SUMIF(фев!$I$127:$I$231,СводкаРасходов242[[#This Row],[Резидент]],фев!$L$127:$L$231)</f>
        <v>0</v>
      </c>
      <c r="D150" s="5">
        <f>+SUMIFS(мар!$L$5:$L$74,мар!$D$5:$D$74,мар!$D$57,мар!$I$5:$I$74,СводкаРасходов242[[#This Row],[Резидент]])</f>
        <v>0</v>
      </c>
      <c r="E150" s="5"/>
      <c r="F150" s="5"/>
      <c r="G150" s="5"/>
      <c r="H150" s="5">
        <f>+SUMIFS(июл!$L$2:$L$44,июл!$D$2:$D$44,"Rezident",июл!$I$2:$I$44,СводкаРасходов242[[#This Row],[Резидент]])</f>
        <v>0</v>
      </c>
      <c r="I150" s="5">
        <f>+SUMIFS(авг!$L$2:$L$191,авг!$D$2:$D$191,"Rezident",авг!$I$2:$I$191,СводкаРасходов242[[#This Row],[Резидент]])</f>
        <v>0</v>
      </c>
      <c r="J150" s="5"/>
      <c r="K150" s="5">
        <f>+SUMIFS(окт!$L$2:$L$267,окт!$D$2:$D$267,"Rezident",окт!$I$2:$I$267,СводкаРасходов242[[#This Row],[Резидент]])</f>
        <v>0</v>
      </c>
      <c r="L150" s="5"/>
      <c r="M150" s="5"/>
      <c r="N150" s="5">
        <f>SUM(СводкаРасходов242[[#This Row],[Январь]:[Декабрь]])</f>
        <v>0</v>
      </c>
      <c r="O150" s="21"/>
      <c r="P150" s="155">
        <f>IFERROR(+СводкаРасходов242[[#This Row],[Итог]]/СводкаРасходов242[[#Totals],[Итог]],0)</f>
        <v>0</v>
      </c>
    </row>
    <row r="151" spans="1:16" ht="16.8" hidden="1" x14ac:dyDescent="0.4">
      <c r="A151" s="23" t="s">
        <v>60</v>
      </c>
      <c r="B151" s="5">
        <f>+SUMIF(янв!$I$151:$I$322,СводкаРасходов242[[#This Row],[Резидент]],янв!$L$151:$L$322)</f>
        <v>0</v>
      </c>
      <c r="C151" s="5">
        <f>+SUMIF(фев!$I$127:$I$231,СводкаРасходов242[[#This Row],[Резидент]],фев!$L$127:$L$231)</f>
        <v>0</v>
      </c>
      <c r="D151" s="5">
        <f>+SUMIFS(мар!$L$5:$L$74,мар!$D$5:$D$74,мар!$D$57,мар!$I$5:$I$74,СводкаРасходов242[[#This Row],[Резидент]])</f>
        <v>0</v>
      </c>
      <c r="E151" s="5"/>
      <c r="F151" s="5"/>
      <c r="G151" s="5"/>
      <c r="H151" s="5">
        <f>+SUMIFS(июл!$L$2:$L$44,июл!$D$2:$D$44,"Rezident",июл!$I$2:$I$44,СводкаРасходов242[[#This Row],[Резидент]])</f>
        <v>0</v>
      </c>
      <c r="I151" s="5">
        <f>+SUMIFS(авг!$L$2:$L$191,авг!$D$2:$D$191,"Rezident",авг!$I$2:$I$191,СводкаРасходов242[[#This Row],[Резидент]])</f>
        <v>0</v>
      </c>
      <c r="J151" s="5"/>
      <c r="K151" s="5">
        <f>+SUMIFS(окт!$L$2:$L$267,окт!$D$2:$D$267,"Rezident",окт!$I$2:$I$267,СводкаРасходов242[[#This Row],[Резидент]])</f>
        <v>0</v>
      </c>
      <c r="L151" s="5"/>
      <c r="M151" s="5"/>
      <c r="N151" s="5">
        <f>SUM(СводкаРасходов242[[#This Row],[Январь]:[Декабрь]])</f>
        <v>0</v>
      </c>
      <c r="O151" s="21"/>
      <c r="P151" s="155">
        <f>IFERROR(+СводкаРасходов242[[#This Row],[Итог]]/СводкаРасходов242[[#Totals],[Итог]],0)</f>
        <v>0</v>
      </c>
    </row>
    <row r="152" spans="1:16" ht="16.8" hidden="1" x14ac:dyDescent="0.4">
      <c r="A152" s="23" t="s">
        <v>61</v>
      </c>
      <c r="B152" s="5">
        <f>+SUMIF(янв!$I$151:$I$322,СводкаРасходов242[[#This Row],[Резидент]],янв!$L$151:$L$322)</f>
        <v>0</v>
      </c>
      <c r="C152" s="5">
        <f>+SUMIF(фев!$I$127:$I$231,СводкаРасходов242[[#This Row],[Резидент]],фев!$L$127:$L$231)</f>
        <v>0</v>
      </c>
      <c r="D152" s="5">
        <f>+SUMIFS(мар!$L$5:$L$74,мар!$D$5:$D$74,мар!$D$57,мар!$I$5:$I$74,СводкаРасходов242[[#This Row],[Резидент]])</f>
        <v>0</v>
      </c>
      <c r="E152" s="5"/>
      <c r="F152" s="5"/>
      <c r="G152" s="5"/>
      <c r="H152" s="5">
        <f>+SUMIFS(июл!$L$2:$L$44,июл!$D$2:$D$44,"Rezident",июл!$I$2:$I$44,СводкаРасходов242[[#This Row],[Резидент]])</f>
        <v>0</v>
      </c>
      <c r="I152" s="5">
        <f>+SUMIFS(авг!$L$2:$L$191,авг!$D$2:$D$191,"Rezident",авг!$I$2:$I$191,СводкаРасходов242[[#This Row],[Резидент]])</f>
        <v>0</v>
      </c>
      <c r="J152" s="5"/>
      <c r="K152" s="5">
        <f>+SUMIFS(окт!$L$2:$L$267,окт!$D$2:$D$267,"Rezident",окт!$I$2:$I$267,СводкаРасходов242[[#This Row],[Резидент]])</f>
        <v>0</v>
      </c>
      <c r="L152" s="5"/>
      <c r="M152" s="5"/>
      <c r="N152" s="5">
        <f>SUM(СводкаРасходов242[[#This Row],[Январь]:[Декабрь]])</f>
        <v>0</v>
      </c>
      <c r="O152" s="21"/>
      <c r="P152" s="155">
        <f>IFERROR(+СводкаРасходов242[[#This Row],[Итог]]/СводкаРасходов242[[#Totals],[Итог]],0)</f>
        <v>0</v>
      </c>
    </row>
    <row r="153" spans="1:16" ht="16.8" x14ac:dyDescent="0.4">
      <c r="A153" s="23" t="s">
        <v>447</v>
      </c>
      <c r="B153" s="5">
        <f>+SUMIF(янв!$I$151:$I$322,СводкаРасходов242[[#This Row],[Резидент]],янв!$L$151:$L$322)</f>
        <v>3960000</v>
      </c>
      <c r="C153" s="5">
        <f>+SUMIF(фев!$I$127:$I$231,СводкаРасходов242[[#This Row],[Резидент]],фев!$L$127:$L$231)</f>
        <v>0</v>
      </c>
      <c r="D153" s="5">
        <f>+SUMIFS(мар!$L$5:$L$74,мар!$D$5:$D$74,мар!$D$57,мар!$I$5:$I$74,СводкаРасходов242[[#This Row],[Резидент]])</f>
        <v>0</v>
      </c>
      <c r="E153" s="5"/>
      <c r="F153" s="5"/>
      <c r="G153" s="5"/>
      <c r="H153" s="10">
        <f>+SUMIFS(июл!$L$2:$L$44,июл!$D$2:$D$44,"Rezident",июл!$I$2:$I$44,СводкаРасходов242[[#This Row],[Резидент]])</f>
        <v>0</v>
      </c>
      <c r="I153" s="10">
        <f>+SUMIFS(авг!$L$2:$L$191,авг!$D$2:$D$191,"Rezident",авг!$I$2:$I$191,СводкаРасходов242[[#This Row],[Резидент]])</f>
        <v>0</v>
      </c>
      <c r="J153" s="10"/>
      <c r="K153" s="10">
        <f>+SUMIFS(окт!$L$2:$L$267,окт!$D$2:$D$267,"Rezident",окт!$I$2:$I$267,СводкаРасходов242[[#This Row],[Резидент]])</f>
        <v>0</v>
      </c>
      <c r="L153" s="10"/>
      <c r="M153" s="5"/>
      <c r="N153" s="5">
        <f>SUM(СводкаРасходов242[[#This Row],[Январь]:[Декабрь]])</f>
        <v>3960000</v>
      </c>
      <c r="O153" s="21"/>
      <c r="P153" s="155">
        <f>IFERROR(+СводкаРасходов242[[#This Row],[Итог]]/СводкаРасходов242[[#Totals],[Итог]],0)</f>
        <v>3.3018765830340737E-3</v>
      </c>
    </row>
    <row r="154" spans="1:16" ht="16.8" x14ac:dyDescent="0.4">
      <c r="A154" s="23" t="s">
        <v>62</v>
      </c>
      <c r="B154" s="5">
        <f>+SUMIF(янв!$I$151:$I$322,СводкаРасходов242[[#This Row],[Резидент]],янв!$L$151:$L$322)</f>
        <v>38529740</v>
      </c>
      <c r="C154" s="5">
        <f>+SUMIF(фев!$I$127:$I$231,СводкаРасходов242[[#This Row],[Резидент]],фев!$L$127:$L$231)</f>
        <v>0</v>
      </c>
      <c r="D154" s="5">
        <f>+SUMIFS(мар!$L$5:$L$74,мар!$D$5:$D$74,мар!$D$57,мар!$I$5:$I$74,СводкаРасходов242[[#This Row],[Резидент]])</f>
        <v>1883662</v>
      </c>
      <c r="E154" s="5"/>
      <c r="F154" s="5"/>
      <c r="G154" s="5"/>
      <c r="H154" s="5">
        <f>+SUMIFS(июл!$L$2:$L$44,июл!$D$2:$D$44,"Rezident",июл!$I$2:$I$44,СводкаРасходов242[[#This Row],[Резидент]])</f>
        <v>0</v>
      </c>
      <c r="I154" s="5">
        <f>+SUMIFS(авг!$L$2:$L$191,авг!$D$2:$D$191,"Rezident",авг!$I$2:$I$191,СводкаРасходов242[[#This Row],[Резидент]])</f>
        <v>0</v>
      </c>
      <c r="J154" s="5"/>
      <c r="K154" s="5">
        <f>+SUMIFS(окт!$L$2:$L$267,окт!$D$2:$D$267,"Rezident",окт!$I$2:$I$267,СводкаРасходов242[[#This Row],[Резидент]])</f>
        <v>0</v>
      </c>
      <c r="L154" s="5"/>
      <c r="M154" s="5"/>
      <c r="N154" s="5">
        <f>SUM(СводкаРасходов242[[#This Row],[Январь]:[Декабрь]])</f>
        <v>40413402</v>
      </c>
      <c r="O154" s="21"/>
      <c r="P154" s="155">
        <f>IFERROR(+СводкаРасходов242[[#This Row],[Итог]]/СводкаРасходов242[[#Totals],[Итог]],0)</f>
        <v>3.3696986289025864E-2</v>
      </c>
    </row>
    <row r="155" spans="1:16" ht="16.8" hidden="1" x14ac:dyDescent="0.4">
      <c r="A155" s="23" t="s">
        <v>63</v>
      </c>
      <c r="B155" s="5">
        <f>+SUMIF(янв!$I$151:$I$322,СводкаРасходов242[[#This Row],[Резидент]],янв!$L$151:$L$322)</f>
        <v>0</v>
      </c>
      <c r="C155" s="5">
        <f>+SUMIF(фев!$I$127:$I$231,СводкаРасходов242[[#This Row],[Резидент]],фев!$L$127:$L$231)</f>
        <v>0</v>
      </c>
      <c r="D155" s="5">
        <f>+SUMIFS(мар!$L$5:$L$74,мар!$D$5:$D$74,мар!$D$57,мар!$I$5:$I$74,СводкаРасходов242[[#This Row],[Резидент]])</f>
        <v>0</v>
      </c>
      <c r="E155" s="5"/>
      <c r="F155" s="5"/>
      <c r="G155" s="5"/>
      <c r="H155" s="5">
        <f>+SUMIFS(июл!$L$2:$L$44,июл!$D$2:$D$44,"Rezident",июл!$I$2:$I$44,СводкаРасходов242[[#This Row],[Резидент]])</f>
        <v>0</v>
      </c>
      <c r="I155" s="5">
        <f>+SUMIFS(авг!$L$2:$L$191,авг!$D$2:$D$191,"Rezident",авг!$I$2:$I$191,СводкаРасходов242[[#This Row],[Резидент]])</f>
        <v>0</v>
      </c>
      <c r="J155" s="5"/>
      <c r="K155" s="5">
        <f>+SUMIFS(окт!$L$2:$L$267,окт!$D$2:$D$267,"Rezident",окт!$I$2:$I$267,СводкаРасходов242[[#This Row],[Резидент]])</f>
        <v>0</v>
      </c>
      <c r="L155" s="5"/>
      <c r="M155" s="5"/>
      <c r="N155" s="5">
        <f>SUM(СводкаРасходов242[[#This Row],[Январь]:[Декабрь]])</f>
        <v>0</v>
      </c>
      <c r="O155" s="21"/>
      <c r="P155" s="155">
        <f>IFERROR(+СводкаРасходов242[[#This Row],[Итог]]/СводкаРасходов242[[#Totals],[Итог]],0)</f>
        <v>0</v>
      </c>
    </row>
    <row r="156" spans="1:16" ht="16.8" hidden="1" x14ac:dyDescent="0.4">
      <c r="A156" s="23" t="s">
        <v>64</v>
      </c>
      <c r="B156" s="5">
        <f>+SUMIF(янв!$I$151:$I$322,СводкаРасходов242[[#This Row],[Резидент]],янв!$L$151:$L$322)</f>
        <v>0</v>
      </c>
      <c r="C156" s="5">
        <f>+SUMIF(фев!$I$127:$I$231,СводкаРасходов242[[#This Row],[Резидент]],фев!$L$127:$L$231)</f>
        <v>0</v>
      </c>
      <c r="D156" s="5">
        <f>+SUMIFS(мар!$L$5:$L$74,мар!$D$5:$D$74,мар!$D$57,мар!$I$5:$I$74,СводкаРасходов242[[#This Row],[Резидент]])</f>
        <v>0</v>
      </c>
      <c r="E156" s="5"/>
      <c r="F156" s="5"/>
      <c r="G156" s="5"/>
      <c r="H156" s="5">
        <f>+SUMIFS(июл!$L$2:$L$44,июл!$D$2:$D$44,"Rezident",июл!$I$2:$I$44,СводкаРасходов242[[#This Row],[Резидент]])</f>
        <v>0</v>
      </c>
      <c r="I156" s="5">
        <f>+SUMIFS(авг!$L$2:$L$191,авг!$D$2:$D$191,"Rezident",авг!$I$2:$I$191,СводкаРасходов242[[#This Row],[Резидент]])</f>
        <v>0</v>
      </c>
      <c r="J156" s="5"/>
      <c r="K156" s="5">
        <f>+SUMIFS(окт!$L$2:$L$267,окт!$D$2:$D$267,"Rezident",окт!$I$2:$I$267,СводкаРасходов242[[#This Row],[Резидент]])</f>
        <v>0</v>
      </c>
      <c r="L156" s="5"/>
      <c r="M156" s="5"/>
      <c r="N156" s="5">
        <f>SUM(СводкаРасходов242[[#This Row],[Январь]:[Декабрь]])</f>
        <v>0</v>
      </c>
      <c r="O156" s="21"/>
      <c r="P156" s="155">
        <f>IFERROR(+СводкаРасходов242[[#This Row],[Итог]]/СводкаРасходов242[[#Totals],[Итог]],0)</f>
        <v>0</v>
      </c>
    </row>
    <row r="157" spans="1:16" ht="16.8" hidden="1" x14ac:dyDescent="0.4">
      <c r="A157" s="23" t="s">
        <v>65</v>
      </c>
      <c r="B157" s="5">
        <f>+SUMIF(янв!$I$151:$I$322,СводкаРасходов242[[#This Row],[Резидент]],янв!$L$151:$L$322)</f>
        <v>0</v>
      </c>
      <c r="C157" s="5">
        <f>+SUMIF(фев!$I$127:$I$231,СводкаРасходов242[[#This Row],[Резидент]],фев!$L$127:$L$231)</f>
        <v>0</v>
      </c>
      <c r="D157" s="5">
        <f>+SUMIFS(мар!$L$5:$L$74,мар!$D$5:$D$74,мар!$D$57,мар!$I$5:$I$74,СводкаРасходов242[[#This Row],[Резидент]])</f>
        <v>0</v>
      </c>
      <c r="E157" s="5"/>
      <c r="F157" s="5"/>
      <c r="G157" s="5"/>
      <c r="H157" s="5">
        <f>+SUMIFS(июл!$L$2:$L$44,июл!$D$2:$D$44,"Rezident",июл!$I$2:$I$44,СводкаРасходов242[[#This Row],[Резидент]])</f>
        <v>0</v>
      </c>
      <c r="I157" s="5">
        <f>+SUMIFS(авг!$L$2:$L$191,авг!$D$2:$D$191,"Rezident",авг!$I$2:$I$191,СводкаРасходов242[[#This Row],[Резидент]])</f>
        <v>0</v>
      </c>
      <c r="J157" s="5"/>
      <c r="K157" s="5">
        <f>+SUMIFS(окт!$L$2:$L$267,окт!$D$2:$D$267,"Rezident",окт!$I$2:$I$267,СводкаРасходов242[[#This Row],[Резидент]])</f>
        <v>0</v>
      </c>
      <c r="L157" s="5"/>
      <c r="M157" s="5"/>
      <c r="N157" s="5">
        <f>SUM(СводкаРасходов242[[#This Row],[Январь]:[Декабрь]])</f>
        <v>0</v>
      </c>
      <c r="O157" s="21"/>
      <c r="P157" s="155">
        <f>IFERROR(+СводкаРасходов242[[#This Row],[Итог]]/СводкаРасходов242[[#Totals],[Итог]],0)</f>
        <v>0</v>
      </c>
    </row>
    <row r="158" spans="1:16" ht="16.8" hidden="1" x14ac:dyDescent="0.4">
      <c r="A158" s="23" t="s">
        <v>66</v>
      </c>
      <c r="B158" s="5">
        <f>+SUMIF(янв!$I$151:$I$322,СводкаРасходов242[[#This Row],[Резидент]],янв!$L$151:$L$322)</f>
        <v>0</v>
      </c>
      <c r="C158" s="5">
        <f>+SUMIF(фев!$I$127:$I$231,СводкаРасходов242[[#This Row],[Резидент]],фев!$L$127:$L$231)</f>
        <v>0</v>
      </c>
      <c r="D158" s="5">
        <f>+SUMIFS(мар!$L$5:$L$74,мар!$D$5:$D$74,мар!$D$57,мар!$I$5:$I$74,СводкаРасходов242[[#This Row],[Резидент]])</f>
        <v>0</v>
      </c>
      <c r="E158" s="5"/>
      <c r="F158" s="5"/>
      <c r="G158" s="5"/>
      <c r="H158" s="5">
        <f>+SUMIFS(июл!$L$2:$L$44,июл!$D$2:$D$44,"Rezident",июл!$I$2:$I$44,СводкаРасходов242[[#This Row],[Резидент]])</f>
        <v>0</v>
      </c>
      <c r="I158" s="5">
        <f>+SUMIFS(авг!$L$2:$L$191,авг!$D$2:$D$191,"Rezident",авг!$I$2:$I$191,СводкаРасходов242[[#This Row],[Резидент]])</f>
        <v>0</v>
      </c>
      <c r="J158" s="5"/>
      <c r="K158" s="5">
        <f>+SUMIFS(окт!$L$2:$L$267,окт!$D$2:$D$267,"Rezident",окт!$I$2:$I$267,СводкаРасходов242[[#This Row],[Резидент]])</f>
        <v>0</v>
      </c>
      <c r="L158" s="5"/>
      <c r="M158" s="5"/>
      <c r="N158" s="5">
        <f>SUM(СводкаРасходов242[[#This Row],[Январь]:[Декабрь]])</f>
        <v>0</v>
      </c>
      <c r="O158" s="21"/>
      <c r="P158" s="155">
        <f>IFERROR(+СводкаРасходов242[[#This Row],[Итог]]/СводкаРасходов242[[#Totals],[Итог]],0)</f>
        <v>0</v>
      </c>
    </row>
    <row r="159" spans="1:16" ht="16.8" hidden="1" x14ac:dyDescent="0.4">
      <c r="A159" s="23" t="s">
        <v>67</v>
      </c>
      <c r="B159" s="5">
        <f>+SUMIF(янв!$I$151:$I$322,СводкаРасходов242[[#This Row],[Резидент]],янв!$L$151:$L$322)</f>
        <v>0</v>
      </c>
      <c r="C159" s="5">
        <f>+SUMIF(фев!$I$127:$I$231,СводкаРасходов242[[#This Row],[Резидент]],фев!$L$127:$L$231)</f>
        <v>0</v>
      </c>
      <c r="D159" s="5">
        <f>+SUMIFS(мар!$L$5:$L$74,мар!$D$5:$D$74,мар!$D$57,мар!$I$5:$I$74,СводкаРасходов242[[#This Row],[Резидент]])</f>
        <v>0</v>
      </c>
      <c r="E159" s="5"/>
      <c r="F159" s="5"/>
      <c r="G159" s="5"/>
      <c r="H159" s="5">
        <f>+SUMIFS(июл!$L$2:$L$44,июл!$D$2:$D$44,"Rezident",июл!$I$2:$I$44,СводкаРасходов242[[#This Row],[Резидент]])</f>
        <v>0</v>
      </c>
      <c r="I159" s="5">
        <f>+SUMIFS(авг!$L$2:$L$191,авг!$D$2:$D$191,"Rezident",авг!$I$2:$I$191,СводкаРасходов242[[#This Row],[Резидент]])</f>
        <v>0</v>
      </c>
      <c r="J159" s="5"/>
      <c r="K159" s="5">
        <f>+SUMIFS(окт!$L$2:$L$267,окт!$D$2:$D$267,"Rezident",окт!$I$2:$I$267,СводкаРасходов242[[#This Row],[Резидент]])</f>
        <v>0</v>
      </c>
      <c r="L159" s="5"/>
      <c r="M159" s="5"/>
      <c r="N159" s="5">
        <f>SUM(СводкаРасходов242[[#This Row],[Январь]:[Декабрь]])</f>
        <v>0</v>
      </c>
      <c r="O159" s="21"/>
      <c r="P159" s="155">
        <f>IFERROR(+СводкаРасходов242[[#This Row],[Итог]]/СводкаРасходов242[[#Totals],[Итог]],0)</f>
        <v>0</v>
      </c>
    </row>
    <row r="160" spans="1:16" ht="16.8" hidden="1" x14ac:dyDescent="0.4">
      <c r="A160" s="23" t="s">
        <v>68</v>
      </c>
      <c r="B160" s="5">
        <f>+SUMIF(янв!$I$151:$I$322,СводкаРасходов242[[#This Row],[Резидент]],янв!$L$151:$L$322)</f>
        <v>0</v>
      </c>
      <c r="C160" s="5">
        <f>+SUMIF(фев!$I$127:$I$231,СводкаРасходов242[[#This Row],[Резидент]],фев!$L$127:$L$231)</f>
        <v>0</v>
      </c>
      <c r="D160" s="5">
        <f>+SUMIFS(мар!$L$5:$L$74,мар!$D$5:$D$74,мар!$D$57,мар!$I$5:$I$74,СводкаРасходов242[[#This Row],[Резидент]])</f>
        <v>0</v>
      </c>
      <c r="E160" s="5"/>
      <c r="F160" s="5"/>
      <c r="G160" s="5"/>
      <c r="H160" s="5">
        <f>+SUMIFS(июл!$L$2:$L$44,июл!$D$2:$D$44,"Rezident",июл!$I$2:$I$44,СводкаРасходов242[[#This Row],[Резидент]])</f>
        <v>0</v>
      </c>
      <c r="I160" s="5">
        <f>+SUMIFS(авг!$L$2:$L$191,авг!$D$2:$D$191,"Rezident",авг!$I$2:$I$191,СводкаРасходов242[[#This Row],[Резидент]])</f>
        <v>0</v>
      </c>
      <c r="J160" s="5"/>
      <c r="K160" s="5">
        <f>+SUMIFS(окт!$L$2:$L$267,окт!$D$2:$D$267,"Rezident",окт!$I$2:$I$267,СводкаРасходов242[[#This Row],[Резидент]])</f>
        <v>0</v>
      </c>
      <c r="L160" s="5"/>
      <c r="M160" s="5"/>
      <c r="N160" s="5">
        <f>SUM(СводкаРасходов242[[#This Row],[Январь]:[Декабрь]])</f>
        <v>0</v>
      </c>
      <c r="O160" s="21"/>
      <c r="P160" s="155">
        <f>IFERROR(+СводкаРасходов242[[#This Row],[Итог]]/СводкаРасходов242[[#Totals],[Итог]],0)</f>
        <v>0</v>
      </c>
    </row>
    <row r="161" spans="1:16" ht="16.8" hidden="1" x14ac:dyDescent="0.4">
      <c r="A161" s="23" t="s">
        <v>69</v>
      </c>
      <c r="B161" s="5">
        <f>+SUMIF(янв!$I$151:$I$322,СводкаРасходов242[[#This Row],[Резидент]],янв!$L$151:$L$322)</f>
        <v>0</v>
      </c>
      <c r="C161" s="5">
        <f>+SUMIF(фев!$I$127:$I$231,СводкаРасходов242[[#This Row],[Резидент]],фев!$L$127:$L$231)</f>
        <v>0</v>
      </c>
      <c r="D161" s="5">
        <f>+SUMIFS(мар!$L$5:$L$74,мар!$D$5:$D$74,мар!$D$57,мар!$I$5:$I$74,СводкаРасходов242[[#This Row],[Резидент]])</f>
        <v>0</v>
      </c>
      <c r="E161" s="5"/>
      <c r="F161" s="5"/>
      <c r="G161" s="5"/>
      <c r="H161" s="5">
        <f>+SUMIFS(июл!$L$2:$L$44,июл!$D$2:$D$44,"Rezident",июл!$I$2:$I$44,СводкаРасходов242[[#This Row],[Резидент]])</f>
        <v>0</v>
      </c>
      <c r="I161" s="5">
        <f>+SUMIFS(авг!$L$2:$L$191,авг!$D$2:$D$191,"Rezident",авг!$I$2:$I$191,СводкаРасходов242[[#This Row],[Резидент]])</f>
        <v>0</v>
      </c>
      <c r="J161" s="5"/>
      <c r="K161" s="5">
        <f>+SUMIFS(окт!$L$2:$L$267,окт!$D$2:$D$267,"Rezident",окт!$I$2:$I$267,СводкаРасходов242[[#This Row],[Резидент]])</f>
        <v>0</v>
      </c>
      <c r="L161" s="5"/>
      <c r="M161" s="5"/>
      <c r="N161" s="5">
        <f>SUM(СводкаРасходов242[[#This Row],[Январь]:[Декабрь]])</f>
        <v>0</v>
      </c>
      <c r="O161" s="6"/>
      <c r="P161" s="30">
        <f>IFERROR(+СводкаРасходов242[[#This Row],[Итог]]/СводкаРасходов242[[#Totals],[Итог]],0)</f>
        <v>0</v>
      </c>
    </row>
    <row r="162" spans="1:16" ht="16.8" hidden="1" x14ac:dyDescent="0.4">
      <c r="A162" s="23" t="s">
        <v>70</v>
      </c>
      <c r="B162" s="5">
        <f>+SUMIF(янв!$I$151:$I$322,СводкаРасходов242[[#This Row],[Резидент]],янв!$L$151:$L$322)</f>
        <v>0</v>
      </c>
      <c r="C162" s="5">
        <f>+SUMIF(фев!$I$127:$I$231,СводкаРасходов242[[#This Row],[Резидент]],фев!$L$127:$L$231)</f>
        <v>0</v>
      </c>
      <c r="D162" s="5">
        <f>+SUMIFS(мар!$L$5:$L$74,мар!$D$5:$D$74,мар!$D$57,мар!$I$5:$I$74,СводкаРасходов242[[#This Row],[Резидент]])</f>
        <v>0</v>
      </c>
      <c r="E162" s="5"/>
      <c r="F162" s="5"/>
      <c r="G162" s="5"/>
      <c r="H162" s="5">
        <f>+SUMIFS(июл!$L$2:$L$44,июл!$D$2:$D$44,"Rezident",июл!$I$2:$I$44,СводкаРасходов242[[#This Row],[Резидент]])</f>
        <v>0</v>
      </c>
      <c r="I162" s="5">
        <f>+SUMIFS(авг!$L$2:$L$191,авг!$D$2:$D$191,"Rezident",авг!$I$2:$I$191,СводкаРасходов242[[#This Row],[Резидент]])</f>
        <v>0</v>
      </c>
      <c r="J162" s="5"/>
      <c r="K162" s="5">
        <f>+SUMIFS(окт!$L$2:$L$267,окт!$D$2:$D$267,"Rezident",окт!$I$2:$I$267,СводкаРасходов242[[#This Row],[Резидент]])</f>
        <v>0</v>
      </c>
      <c r="L162" s="5"/>
      <c r="M162" s="5"/>
      <c r="N162" s="5">
        <f>SUM(СводкаРасходов242[[#This Row],[Январь]:[Декабрь]])</f>
        <v>0</v>
      </c>
      <c r="O162" s="6"/>
      <c r="P162" s="30">
        <f>IFERROR(+СводкаРасходов242[[#This Row],[Итог]]/СводкаРасходов242[[#Totals],[Итог]],0)</f>
        <v>0</v>
      </c>
    </row>
    <row r="163" spans="1:16" ht="16.8" x14ac:dyDescent="0.4">
      <c r="A163" s="23" t="s">
        <v>71</v>
      </c>
      <c r="B163" s="5">
        <f>+SUMIF(янв!$I$151:$I$322,СводкаРасходов242[[#This Row],[Резидент]],янв!$L$151:$L$322)</f>
        <v>32015753</v>
      </c>
      <c r="C163" s="5">
        <f>+SUMIF(фев!$I$127:$I$231,СводкаРасходов242[[#This Row],[Резидент]],фев!$L$127:$L$231)</f>
        <v>0</v>
      </c>
      <c r="D163" s="5">
        <f>+SUMIFS(мар!$L$5:$L$74,мар!$D$5:$D$74,мар!$D$57,мар!$I$5:$I$74,СводкаРасходов242[[#This Row],[Резидент]])</f>
        <v>0</v>
      </c>
      <c r="E163" s="5"/>
      <c r="F163" s="5"/>
      <c r="G163" s="5"/>
      <c r="H163" s="5">
        <f>+SUMIFS(июл!$L$2:$L$44,июл!$D$2:$D$44,"Rezident",июл!$I$2:$I$44,СводкаРасходов242[[#This Row],[Резидент]])</f>
        <v>0</v>
      </c>
      <c r="I163" s="5">
        <f>+SUMIFS(авг!$L$2:$L$191,авг!$D$2:$D$191,"Rezident",авг!$I$2:$I$191,СводкаРасходов242[[#This Row],[Резидент]])</f>
        <v>0</v>
      </c>
      <c r="J163" s="5"/>
      <c r="K163" s="5">
        <f>+SUMIFS(окт!$L$2:$L$267,окт!$D$2:$D$267,"Rezident",окт!$I$2:$I$267,СводкаРасходов242[[#This Row],[Резидент]])</f>
        <v>0</v>
      </c>
      <c r="L163" s="5"/>
      <c r="M163" s="5"/>
      <c r="N163" s="5">
        <f>SUM(СводкаРасходов242[[#This Row],[Январь]:[Декабрь]])</f>
        <v>32015753</v>
      </c>
      <c r="O163" s="6"/>
      <c r="P163" s="30">
        <f>IFERROR(+СводкаРасходов242[[#This Row],[Итог]]/СводкаРасходов242[[#Totals],[Итог]],0)</f>
        <v>2.6694965939116893E-2</v>
      </c>
    </row>
    <row r="164" spans="1:16" ht="16.8" hidden="1" x14ac:dyDescent="0.4">
      <c r="A164" s="23" t="s">
        <v>72</v>
      </c>
      <c r="B164" s="5">
        <f>+SUMIF(янв!$I$151:$I$322,СводкаРасходов242[[#This Row],[Резидент]],янв!$L$151:$L$322)</f>
        <v>0</v>
      </c>
      <c r="C164" s="5">
        <f>+SUMIF(фев!$I$127:$I$231,СводкаРасходов242[[#This Row],[Резидент]],фев!$L$127:$L$231)</f>
        <v>0</v>
      </c>
      <c r="D164" s="5">
        <f>+SUMIFS(мар!$L$5:$L$74,мар!$D$5:$D$74,мар!$D$57,мар!$I$5:$I$74,СводкаРасходов242[[#This Row],[Резидент]])</f>
        <v>0</v>
      </c>
      <c r="E164" s="5"/>
      <c r="F164" s="5"/>
      <c r="G164" s="5"/>
      <c r="H164" s="5">
        <f>+SUMIFS(июл!$L$2:$L$44,июл!$D$2:$D$44,"Rezident",июл!$I$2:$I$44,СводкаРасходов242[[#This Row],[Резидент]])</f>
        <v>0</v>
      </c>
      <c r="I164" s="5">
        <f>+SUMIFS(авг!$L$2:$L$191,авг!$D$2:$D$191,"Rezident",авг!$I$2:$I$191,СводкаРасходов242[[#This Row],[Резидент]])</f>
        <v>0</v>
      </c>
      <c r="J164" s="5"/>
      <c r="K164" s="5">
        <f>+SUMIFS(окт!$L$2:$L$267,окт!$D$2:$D$267,"Rezident",окт!$I$2:$I$267,СводкаРасходов242[[#This Row],[Резидент]])</f>
        <v>0</v>
      </c>
      <c r="L164" s="5"/>
      <c r="M164" s="5"/>
      <c r="N164" s="5">
        <f>SUM(СводкаРасходов242[[#This Row],[Январь]:[Декабрь]])</f>
        <v>0</v>
      </c>
      <c r="O164" s="6"/>
      <c r="P164" s="30">
        <f>IFERROR(+СводкаРасходов242[[#This Row],[Итог]]/СводкаРасходов242[[#Totals],[Итог]],0)</f>
        <v>0</v>
      </c>
    </row>
    <row r="165" spans="1:16" ht="16.8" hidden="1" x14ac:dyDescent="0.4">
      <c r="A165" s="23" t="s">
        <v>73</v>
      </c>
      <c r="B165" s="5">
        <f>+SUMIF(янв!$I$151:$I$322,СводкаРасходов242[[#This Row],[Резидент]],янв!$L$151:$L$322)</f>
        <v>0</v>
      </c>
      <c r="C165" s="5">
        <f>+SUMIF(фев!$I$127:$I$231,СводкаРасходов242[[#This Row],[Резидент]],фев!$L$127:$L$231)</f>
        <v>0</v>
      </c>
      <c r="D165" s="5">
        <f>+SUMIFS(мар!$L$5:$L$74,мар!$D$5:$D$74,мар!$D$57,мар!$I$5:$I$74,СводкаРасходов242[[#This Row],[Резидент]])</f>
        <v>0</v>
      </c>
      <c r="E165" s="5"/>
      <c r="F165" s="5"/>
      <c r="G165" s="5"/>
      <c r="H165" s="5">
        <f>+SUMIFS(июл!$L$2:$L$44,июл!$D$2:$D$44,"Rezident",июл!$I$2:$I$44,СводкаРасходов242[[#This Row],[Резидент]])</f>
        <v>0</v>
      </c>
      <c r="I165" s="5">
        <f>+SUMIFS(авг!$L$2:$L$191,авг!$D$2:$D$191,"Rezident",авг!$I$2:$I$191,СводкаРасходов242[[#This Row],[Резидент]])</f>
        <v>0</v>
      </c>
      <c r="J165" s="5"/>
      <c r="K165" s="5">
        <f>+SUMIFS(окт!$L$2:$L$267,окт!$D$2:$D$267,"Rezident",окт!$I$2:$I$267,СводкаРасходов242[[#This Row],[Резидент]])</f>
        <v>0</v>
      </c>
      <c r="L165" s="5"/>
      <c r="M165" s="5"/>
      <c r="N165" s="5">
        <f>SUM(СводкаРасходов242[[#This Row],[Январь]:[Декабрь]])</f>
        <v>0</v>
      </c>
      <c r="O165" s="6"/>
      <c r="P165" s="30">
        <f>IFERROR(+СводкаРасходов242[[#This Row],[Итог]]/СводкаРасходов242[[#Totals],[Итог]],0)</f>
        <v>0</v>
      </c>
    </row>
    <row r="166" spans="1:16" ht="16.8" hidden="1" x14ac:dyDescent="0.4">
      <c r="A166" s="23" t="s">
        <v>74</v>
      </c>
      <c r="B166" s="5">
        <f>+SUMIF(янв!$I$151:$I$322,СводкаРасходов242[[#This Row],[Резидент]],янв!$L$151:$L$322)</f>
        <v>0</v>
      </c>
      <c r="C166" s="5">
        <f>+SUMIF(фев!$I$127:$I$231,СводкаРасходов242[[#This Row],[Резидент]],фев!$L$127:$L$231)</f>
        <v>0</v>
      </c>
      <c r="D166" s="5">
        <f>+SUMIFS(мар!$L$5:$L$74,мар!$D$5:$D$74,мар!$D$57,мар!$I$5:$I$74,СводкаРасходов242[[#This Row],[Резидент]])</f>
        <v>0</v>
      </c>
      <c r="E166" s="5"/>
      <c r="F166" s="5"/>
      <c r="G166" s="5"/>
      <c r="H166" s="5">
        <f>+SUMIFS(июл!$L$2:$L$44,июл!$D$2:$D$44,"Rezident",июл!$I$2:$I$44,СводкаРасходов242[[#This Row],[Резидент]])</f>
        <v>0</v>
      </c>
      <c r="I166" s="5">
        <f>+SUMIFS(авг!$L$2:$L$191,авг!$D$2:$D$191,"Rezident",авг!$I$2:$I$191,СводкаРасходов242[[#This Row],[Резидент]])</f>
        <v>0</v>
      </c>
      <c r="J166" s="5"/>
      <c r="K166" s="5">
        <f>+SUMIFS(окт!$L$2:$L$267,окт!$D$2:$D$267,"Rezident",окт!$I$2:$I$267,СводкаРасходов242[[#This Row],[Резидент]])</f>
        <v>0</v>
      </c>
      <c r="L166" s="5"/>
      <c r="M166" s="5"/>
      <c r="N166" s="5">
        <f>SUM(СводкаРасходов242[[#This Row],[Январь]:[Декабрь]])</f>
        <v>0</v>
      </c>
      <c r="O166" s="6"/>
      <c r="P166" s="30">
        <f>IFERROR(+СводкаРасходов242[[#This Row],[Итог]]/СводкаРасходов242[[#Totals],[Итог]],0)</f>
        <v>0</v>
      </c>
    </row>
    <row r="167" spans="1:16" ht="16.8" x14ac:dyDescent="0.4">
      <c r="A167" s="23" t="s">
        <v>75</v>
      </c>
      <c r="B167" s="5">
        <f>+SUMIF(янв!$I$151:$I$322,СводкаРасходов242[[#This Row],[Резидент]],янв!$L$151:$L$322)</f>
        <v>0</v>
      </c>
      <c r="C167" s="5">
        <v>31164120</v>
      </c>
      <c r="D167" s="5">
        <f>+SUMIFS(мар!$L$5:$L$74,мар!$D$5:$D$74,мар!$D$57,мар!$I$5:$I$74,СводкаРасходов242[[#This Row],[Резидент]])</f>
        <v>0</v>
      </c>
      <c r="E167" s="5"/>
      <c r="F167" s="5"/>
      <c r="G167" s="5"/>
      <c r="H167" s="5">
        <f>+SUMIFS(июл!$L$2:$L$44,июл!$D$2:$D$44,"Rezident",июл!$I$2:$I$44,СводкаРасходов242[[#This Row],[Резидент]])</f>
        <v>0</v>
      </c>
      <c r="I167" s="5">
        <f>+SUMIFS(авг!$L$2:$L$191,авг!$D$2:$D$191,"Rezident",авг!$I$2:$I$191,СводкаРасходов242[[#This Row],[Резидент]])</f>
        <v>0</v>
      </c>
      <c r="J167" s="5"/>
      <c r="K167" s="5">
        <f>+SUMIFS(окт!$L$2:$L$267,окт!$D$2:$D$267,"Rezident",окт!$I$2:$I$267,СводкаРасходов242[[#This Row],[Резидент]])</f>
        <v>0</v>
      </c>
      <c r="L167" s="5"/>
      <c r="M167" s="5"/>
      <c r="N167" s="5">
        <f>SUM(СводкаРасходов242[[#This Row],[Январь]:[Декабрь]])</f>
        <v>31164120</v>
      </c>
      <c r="O167" s="6"/>
      <c r="P167" s="30">
        <f>IFERROR(+СводкаРасходов242[[#This Row],[Итог]]/СводкаРасходов242[[#Totals],[Итог]],0)</f>
        <v>2.5984868196682789E-2</v>
      </c>
    </row>
    <row r="168" spans="1:16" ht="16.8" hidden="1" x14ac:dyDescent="0.4">
      <c r="A168" s="23" t="s">
        <v>76</v>
      </c>
      <c r="B168" s="5">
        <f>+SUMIF(янв!$I$151:$I$322,СводкаРасходов242[[#This Row],[Резидент]],янв!$L$151:$L$322)</f>
        <v>0</v>
      </c>
      <c r="C168" s="5">
        <f>+SUMIF(фев!$I$127:$I$231,СводкаРасходов242[[#This Row],[Резидент]],фев!$L$127:$L$231)</f>
        <v>0</v>
      </c>
      <c r="D168" s="5">
        <f>+SUMIFS(мар!$L$5:$L$74,мар!$D$5:$D$74,мар!$D$57,мар!$I$5:$I$74,СводкаРасходов242[[#This Row],[Резидент]])</f>
        <v>0</v>
      </c>
      <c r="E168" s="5"/>
      <c r="F168" s="5"/>
      <c r="G168" s="5"/>
      <c r="H168" s="5">
        <f>+SUMIFS(июл!$L$2:$L$44,июл!$D$2:$D$44,"Rezident",июл!$I$2:$I$44,СводкаРасходов242[[#This Row],[Резидент]])</f>
        <v>0</v>
      </c>
      <c r="I168" s="5">
        <f>+SUMIFS(авг!$L$2:$L$191,авг!$D$2:$D$191,"Rezident",авг!$I$2:$I$191,СводкаРасходов242[[#This Row],[Резидент]])</f>
        <v>0</v>
      </c>
      <c r="J168" s="5"/>
      <c r="K168" s="5">
        <f>+SUMIFS(окт!$L$2:$L$267,окт!$D$2:$D$267,"Rezident",окт!$I$2:$I$267,СводкаРасходов242[[#This Row],[Резидент]])</f>
        <v>0</v>
      </c>
      <c r="L168" s="5"/>
      <c r="M168" s="5"/>
      <c r="N168" s="5">
        <f>SUM(СводкаРасходов242[[#This Row],[Январь]:[Декабрь]])</f>
        <v>0</v>
      </c>
      <c r="O168" s="6"/>
      <c r="P168" s="30">
        <f>IFERROR(+СводкаРасходов242[[#This Row],[Итог]]/СводкаРасходов242[[#Totals],[Итог]],0)</f>
        <v>0</v>
      </c>
    </row>
    <row r="169" spans="1:16" ht="16.8" hidden="1" x14ac:dyDescent="0.4">
      <c r="A169" s="23" t="s">
        <v>77</v>
      </c>
      <c r="B169" s="5">
        <f>+SUMIF(янв!$I$151:$I$322,СводкаРасходов242[[#This Row],[Резидент]],янв!$L$151:$L$322)</f>
        <v>0</v>
      </c>
      <c r="C169" s="5">
        <f>+SUMIF(фев!$I$127:$I$231,СводкаРасходов242[[#This Row],[Резидент]],фев!$L$127:$L$231)</f>
        <v>0</v>
      </c>
      <c r="D169" s="5">
        <f>+SUMIFS(мар!$L$5:$L$74,мар!$D$5:$D$74,мар!$D$57,мар!$I$5:$I$74,СводкаРасходов242[[#This Row],[Резидент]])</f>
        <v>0</v>
      </c>
      <c r="E169" s="5"/>
      <c r="F169" s="5"/>
      <c r="G169" s="5"/>
      <c r="H169" s="5">
        <f>+SUMIFS(июл!$L$2:$L$44,июл!$D$2:$D$44,"Rezident",июл!$I$2:$I$44,СводкаРасходов242[[#This Row],[Резидент]])</f>
        <v>0</v>
      </c>
      <c r="I169" s="5">
        <f>+SUMIFS(авг!$L$2:$L$191,авг!$D$2:$D$191,"Rezident",авг!$I$2:$I$191,СводкаРасходов242[[#This Row],[Резидент]])</f>
        <v>0</v>
      </c>
      <c r="J169" s="5"/>
      <c r="K169" s="5">
        <f>+SUMIFS(окт!$L$2:$L$267,окт!$D$2:$D$267,"Rezident",окт!$I$2:$I$267,СводкаРасходов242[[#This Row],[Резидент]])</f>
        <v>0</v>
      </c>
      <c r="L169" s="5"/>
      <c r="M169" s="5"/>
      <c r="N169" s="5">
        <f>SUM(СводкаРасходов242[[#This Row],[Январь]:[Декабрь]])</f>
        <v>0</v>
      </c>
      <c r="O169" s="6"/>
      <c r="P169" s="30">
        <f>IFERROR(+СводкаРасходов242[[#This Row],[Итог]]/СводкаРасходов242[[#Totals],[Итог]],0)</f>
        <v>0</v>
      </c>
    </row>
    <row r="170" spans="1:16" ht="16.8" hidden="1" x14ac:dyDescent="0.4">
      <c r="A170" s="23" t="s">
        <v>78</v>
      </c>
      <c r="B170" s="5">
        <f>+SUMIF(янв!$I$151:$I$322,СводкаРасходов242[[#This Row],[Резидент]],янв!$L$151:$L$322)</f>
        <v>0</v>
      </c>
      <c r="C170" s="5">
        <f>+SUMIF(фев!$I$127:$I$231,СводкаРасходов242[[#This Row],[Резидент]],фев!$L$127:$L$231)</f>
        <v>0</v>
      </c>
      <c r="D170" s="5">
        <f>+SUMIFS(мар!$L$5:$L$74,мар!$D$5:$D$74,мар!$D$57,мар!$I$5:$I$74,СводкаРасходов242[[#This Row],[Резидент]])</f>
        <v>0</v>
      </c>
      <c r="E170" s="5"/>
      <c r="F170" s="5"/>
      <c r="G170" s="5"/>
      <c r="H170" s="5">
        <f>+SUMIFS(июл!$L$2:$L$44,июл!$D$2:$D$44,"Rezident",июл!$I$2:$I$44,СводкаРасходов242[[#This Row],[Резидент]])</f>
        <v>0</v>
      </c>
      <c r="I170" s="5">
        <f>+SUMIFS(авг!$L$2:$L$191,авг!$D$2:$D$191,"Rezident",авг!$I$2:$I$191,СводкаРасходов242[[#This Row],[Резидент]])</f>
        <v>0</v>
      </c>
      <c r="J170" s="5"/>
      <c r="K170" s="5">
        <f>+SUMIFS(окт!$L$2:$L$267,окт!$D$2:$D$267,"Rezident",окт!$I$2:$I$267,СводкаРасходов242[[#This Row],[Резидент]])</f>
        <v>0</v>
      </c>
      <c r="L170" s="5"/>
      <c r="M170" s="5"/>
      <c r="N170" s="5">
        <f>SUM(СводкаРасходов242[[#This Row],[Январь]:[Декабрь]])</f>
        <v>0</v>
      </c>
      <c r="O170" s="6"/>
      <c r="P170" s="30">
        <f>IFERROR(+СводкаРасходов242[[#This Row],[Итог]]/СводкаРасходов242[[#Totals],[Итог]],0)</f>
        <v>0</v>
      </c>
    </row>
    <row r="171" spans="1:16" ht="16.8" hidden="1" x14ac:dyDescent="0.4">
      <c r="A171" s="23" t="s">
        <v>79</v>
      </c>
      <c r="B171" s="5">
        <f>+SUMIF(янв!$I$151:$I$322,СводкаРасходов242[[#This Row],[Резидент]],янв!$L$151:$L$322)</f>
        <v>0</v>
      </c>
      <c r="C171" s="5">
        <f>+SUMIF(фев!$I$127:$I$231,СводкаРасходов242[[#This Row],[Резидент]],фев!$L$127:$L$231)</f>
        <v>0</v>
      </c>
      <c r="D171" s="5">
        <f>+SUMIFS(мар!$L$5:$L$74,мар!$D$5:$D$74,мар!$D$57,мар!$I$5:$I$74,СводкаРасходов242[[#This Row],[Резидент]])</f>
        <v>0</v>
      </c>
      <c r="E171" s="5"/>
      <c r="F171" s="5"/>
      <c r="G171" s="5"/>
      <c r="H171" s="5">
        <f>+SUMIFS(июл!$L$2:$L$44,июл!$D$2:$D$44,"Rezident",июл!$I$2:$I$44,СводкаРасходов242[[#This Row],[Резидент]])</f>
        <v>0</v>
      </c>
      <c r="I171" s="5">
        <f>+SUMIFS(авг!$L$2:$L$191,авг!$D$2:$D$191,"Rezident",авг!$I$2:$I$191,СводкаРасходов242[[#This Row],[Резидент]])</f>
        <v>0</v>
      </c>
      <c r="J171" s="5"/>
      <c r="K171" s="5">
        <f>+SUMIFS(окт!$L$2:$L$267,окт!$D$2:$D$267,"Rezident",окт!$I$2:$I$267,СводкаРасходов242[[#This Row],[Резидент]])</f>
        <v>0</v>
      </c>
      <c r="L171" s="5"/>
      <c r="M171" s="5"/>
      <c r="N171" s="5">
        <f>SUM(СводкаРасходов242[[#This Row],[Январь]:[Декабрь]])</f>
        <v>0</v>
      </c>
      <c r="O171" s="6"/>
      <c r="P171" s="30">
        <f>IFERROR(+СводкаРасходов242[[#This Row],[Итог]]/СводкаРасходов242[[#Totals],[Итог]],0)</f>
        <v>0</v>
      </c>
    </row>
    <row r="172" spans="1:16" ht="16.8" x14ac:dyDescent="0.4">
      <c r="A172" s="23" t="s">
        <v>800</v>
      </c>
      <c r="B172" s="5">
        <f>+SUMIF(янв!$I$151:$I$322,СводкаРасходов242[[#This Row],[Резидент]],янв!$L$151:$L$322)</f>
        <v>0</v>
      </c>
      <c r="C172" s="5">
        <f>+SUMIF(фев!$I$127:$I$231,СводкаРасходов242[[#This Row],[Резидент]],фев!$L$127:$L$231)</f>
        <v>0</v>
      </c>
      <c r="D172" s="5">
        <f>+SUMIFS(мар!$L$5:$L$74,мар!$D$5:$D$74,мар!$D$57,мар!$I$5:$I$74,СводкаРасходов242[[#This Row],[Резидент]])</f>
        <v>6402570</v>
      </c>
      <c r="E172" s="5"/>
      <c r="F172" s="5"/>
      <c r="G172" s="5"/>
      <c r="H172" s="5">
        <f>+SUMIFS(июл!$L$2:$L$44,июл!$D$2:$D$44,"Rezident",июл!$I$2:$I$44,СводкаРасходов242[[#This Row],[Резидент]])</f>
        <v>0</v>
      </c>
      <c r="I172" s="5">
        <f>+SUMIFS(авг!$L$2:$L$191,авг!$D$2:$D$191,"Rezident",авг!$I$2:$I$191,СводкаРасходов242[[#This Row],[Резидент]])</f>
        <v>0</v>
      </c>
      <c r="J172" s="5"/>
      <c r="K172" s="5">
        <f>+SUMIFS(окт!$L$2:$L$267,окт!$D$2:$D$267,"Rezident",окт!$I$2:$I$267,СводкаРасходов242[[#This Row],[Резидент]])</f>
        <v>0</v>
      </c>
      <c r="L172" s="5"/>
      <c r="M172" s="5"/>
      <c r="N172" s="5">
        <f>SUM(СводкаРасходов242[[#This Row],[Январь]:[Декабрь]])</f>
        <v>6402570</v>
      </c>
      <c r="O172" s="6"/>
      <c r="P172" s="30">
        <f>IFERROR(+СводкаРасходов242[[#This Row],[Итог]]/СводкаРасходов242[[#Totals],[Итог]],0)</f>
        <v>5.3385090793526442E-3</v>
      </c>
    </row>
    <row r="173" spans="1:16" ht="16.8" x14ac:dyDescent="0.4">
      <c r="A173" s="23" t="s">
        <v>81</v>
      </c>
      <c r="B173" s="5">
        <f>+SUMIF(янв!$I$151:$I$322,СводкаРасходов242[[#This Row],[Резидент]],янв!$L$151:$L$322)</f>
        <v>5766256</v>
      </c>
      <c r="C173" s="5">
        <v>4264985</v>
      </c>
      <c r="D173" s="5">
        <f>+SUMIFS(мар!$L$5:$L$74,мар!$D$5:$D$74,мар!$D$57,мар!$I$5:$I$74,СводкаРасходов242[[#This Row],[Резидент]])</f>
        <v>4492017</v>
      </c>
      <c r="E173" s="5"/>
      <c r="F173" s="5"/>
      <c r="G173" s="5">
        <f>+СводкаРасходов[[#Totals],[Июнь]]-G125</f>
        <v>7617932</v>
      </c>
      <c r="H173" s="5">
        <f>+SUMIFS(июл!$L$2:$L$44,июл!$D$2:$D$44,"Rezident",июл!$I$2:$I$44,СводкаРасходов242[[#This Row],[Резидент]])</f>
        <v>1791601</v>
      </c>
      <c r="I173" s="5">
        <f>+SUMIFS(авг!$L$2:$L$191,авг!$D$2:$D$191,"Rezident",авг!$I$2:$I$191,СводкаРасходов242[[#This Row],[Резидент]])</f>
        <v>0</v>
      </c>
      <c r="J173" s="5">
        <f>+сен!L7+сен!L4</f>
        <v>1055000</v>
      </c>
      <c r="K173" s="5">
        <f>+SUMIFS(окт!$L$2:$L$267,окт!$D$2:$D$267,"Rezident",окт!$I$2:$I$267,СводкаРасходов242[[#This Row],[Резидент]])</f>
        <v>55906367</v>
      </c>
      <c r="L173" s="5"/>
      <c r="M173" s="5"/>
      <c r="N173" s="5">
        <f>SUM(СводкаРасходов242[[#This Row],[Январь]:[Декабрь]])</f>
        <v>80894158</v>
      </c>
      <c r="O173" s="6"/>
      <c r="P173" s="30">
        <f>IFERROR(+СводкаРасходов242[[#This Row],[Итог]]/СводкаРасходов242[[#Totals],[Итог]],0)</f>
        <v>6.7450132829408718E-2</v>
      </c>
    </row>
    <row r="174" spans="1:16" ht="16.8" hidden="1" x14ac:dyDescent="0.4">
      <c r="A174" s="23" t="s">
        <v>82</v>
      </c>
      <c r="B174" s="5">
        <f>+SUMIF(янв!$I$151:$I$322,СводкаРасходов242[[#This Row],[Резидент]],янв!$L$151:$L$322)</f>
        <v>0</v>
      </c>
      <c r="C174" s="5">
        <f>+SUMIF(фев!$I$127:$I$231,СводкаРасходов242[[#This Row],[Резидент]],фев!$L$127:$L$231)</f>
        <v>0</v>
      </c>
      <c r="D174" s="5">
        <f>+SUMIFS(мар!$L$5:$L$74,мар!$D$5:$D$74,мар!$D$57,мар!$I$5:$I$74,СводкаРасходов242[[#This Row],[Резидент]])</f>
        <v>0</v>
      </c>
      <c r="E174" s="5"/>
      <c r="F174" s="5"/>
      <c r="G174" s="5"/>
      <c r="H174" s="5">
        <f>+SUMIFS(июл!$L$2:$L$44,июл!$D$2:$D$44,"Rezident",июл!$I$2:$I$44,СводкаРасходов242[[#This Row],[Резидент]])</f>
        <v>0</v>
      </c>
      <c r="I174" s="5">
        <f>+SUMIFS(авг!$L$2:$L$191,авг!$D$2:$D$191,"Rezident",авг!$I$2:$I$191,СводкаРасходов242[[#This Row],[Резидент]])</f>
        <v>0</v>
      </c>
      <c r="J174" s="5"/>
      <c r="K174" s="5">
        <f>+SUMIFS(окт!$L$2:$L$267,окт!$D$2:$D$267,"Rezident",окт!$I$2:$I$267,СводкаРасходов242[[#This Row],[Резидент]])</f>
        <v>0</v>
      </c>
      <c r="L174" s="5"/>
      <c r="M174" s="5"/>
      <c r="N174" s="5">
        <f>SUM(СводкаРасходов242[[#This Row],[Январь]:[Декабрь]])</f>
        <v>0</v>
      </c>
      <c r="O174" s="6"/>
      <c r="P174" s="30">
        <f>IFERROR(+СводкаРасходов242[[#This Row],[Итог]]/СводкаРасходов242[[#Totals],[Итог]],0)</f>
        <v>0</v>
      </c>
    </row>
    <row r="175" spans="1:16" ht="16.8" x14ac:dyDescent="0.4">
      <c r="A175" s="23" t="s">
        <v>240</v>
      </c>
      <c r="B175" s="5">
        <f>+SUMIF(янв!$I$151:$I$322,СводкаРасходов242[[#This Row],[Резидент]],янв!$L$151:$L$322)</f>
        <v>31942505</v>
      </c>
      <c r="C175" s="5">
        <f>+SUMIF(фев!$I$127:$I$231,СводкаРасходов242[[#This Row],[Резидент]],фев!$L$127:$L$231)</f>
        <v>23077897</v>
      </c>
      <c r="D175" s="5">
        <f>+SUMIFS(мар!$L$5:$L$74,мар!$D$5:$D$74,мар!$D$57,мар!$I$5:$I$74,СводкаРасходов242[[#This Row],[Резидент]])</f>
        <v>0</v>
      </c>
      <c r="E175" s="5"/>
      <c r="F175" s="5"/>
      <c r="G175" s="5"/>
      <c r="H175" s="10">
        <f>+SUMIFS(июл!$L$2:$L$44,июл!$D$2:$D$44,"Rezident",июл!$I$2:$I$44,СводкаРасходов242[[#This Row],[Резидент]])</f>
        <v>0</v>
      </c>
      <c r="I175" s="10">
        <f>+SUMIFS(авг!$L$2:$L$191,авг!$D$2:$D$191,"Rezident",авг!$I$2:$I$191,СводкаРасходов242[[#This Row],[Резидент]])</f>
        <v>0</v>
      </c>
      <c r="J175" s="10"/>
      <c r="K175" s="10">
        <f>+SUMIFS(окт!$L$2:$L$267,окт!$D$2:$D$267,"Rezident",окт!$I$2:$I$267,СводкаРасходов242[[#This Row],[Резидент]])</f>
        <v>0</v>
      </c>
      <c r="L175" s="10"/>
      <c r="M175" s="5"/>
      <c r="N175" s="5">
        <f>SUM(СводкаРасходов242[[#This Row],[Январь]:[Декабрь]])</f>
        <v>55020402</v>
      </c>
      <c r="O175" s="6"/>
      <c r="P175" s="31">
        <f>IFERROR(+СводкаРасходов242[[#This Row],[Итог]]/СводкаРасходов242[[#Totals],[Итог]],0)</f>
        <v>4.5876408321444732E-2</v>
      </c>
    </row>
    <row r="176" spans="1:16" ht="16.8" x14ac:dyDescent="0.4">
      <c r="A176" s="23" t="s">
        <v>83</v>
      </c>
      <c r="B176" s="5">
        <f>+SUMIF(янв!$I$151:$I$322,СводкаРасходов242[[#This Row],[Резидент]],янв!$L$151:$L$322)</f>
        <v>0</v>
      </c>
      <c r="C176" s="5">
        <f>+SUMIF(фев!$I$127:$I$231,СводкаРасходов242[[#This Row],[Резидент]],фев!$L$127:$L$231)</f>
        <v>0</v>
      </c>
      <c r="D176" s="5">
        <f>+SUMIFS(мар!$L$5:$L$74,мар!$D$5:$D$74,мар!$D$57,мар!$I$5:$I$74,СводкаРасходов242[[#This Row],[Резидент]])</f>
        <v>0</v>
      </c>
      <c r="E176" s="5"/>
      <c r="F176" s="5"/>
      <c r="G176" s="5"/>
      <c r="H176" s="5">
        <f>+SUMIFS(июл!$L$2:$L$44,июл!$D$2:$D$44,"Rezident",июл!$I$2:$I$44,СводкаРасходов242[[#This Row],[Резидент]])</f>
        <v>0</v>
      </c>
      <c r="I176" s="5">
        <f>+SUMIFS(авг!$L$2:$L$191,авг!$D$2:$D$191,"Rezident",авг!$I$2:$I$191,СводкаРасходов242[[#This Row],[Резидент]])</f>
        <v>0</v>
      </c>
      <c r="J176" s="5"/>
      <c r="K176" s="5">
        <f>+SUMIFS(окт!$L$2:$L$267,окт!$D$2:$D$267,"Rezident",окт!$I$2:$I$267,СводкаРасходов242[[#This Row],[Резидент]])</f>
        <v>1535723</v>
      </c>
      <c r="L176" s="5"/>
      <c r="M176" s="5"/>
      <c r="N176" s="5">
        <f>SUM(СводкаРасходов242[[#This Row],[Январь]:[Декабрь]])</f>
        <v>1535723</v>
      </c>
      <c r="O176" s="6"/>
      <c r="P176" s="30">
        <f>IFERROR(+СводкаРасходов242[[#This Row],[Итог]]/СводкаРасходов242[[#Totals],[Итог]],0)</f>
        <v>1.2804969221532417E-3</v>
      </c>
    </row>
    <row r="177" spans="1:16" ht="16.8" x14ac:dyDescent="0.4">
      <c r="A177" s="23" t="s">
        <v>84</v>
      </c>
      <c r="B177" s="5">
        <f>+SUMIF(янв!$I$151:$I$322,СводкаРасходов242[[#This Row],[Резидент]],янв!$L$151:$L$322)</f>
        <v>8419146</v>
      </c>
      <c r="C177" s="5">
        <f>+SUMIF(фев!$I$127:$I$231,СводкаРасходов242[[#This Row],[Резидент]],фев!$L$127:$L$231)</f>
        <v>1962913</v>
      </c>
      <c r="D177" s="5">
        <f>+SUMIFS(мар!$L$5:$L$74,мар!$D$5:$D$74,мар!$D$57,мар!$I$5:$I$74,СводкаРасходов242[[#This Row],[Резидент]])</f>
        <v>0</v>
      </c>
      <c r="E177" s="5"/>
      <c r="F177" s="5"/>
      <c r="G177" s="5"/>
      <c r="H177" s="10">
        <f>+SUMIFS(июл!$L$2:$L$44,июл!$D$2:$D$44,"Rezident",июл!$I$2:$I$44,СводкаРасходов242[[#This Row],[Резидент]])</f>
        <v>0</v>
      </c>
      <c r="I177" s="10">
        <f>+SUMIFS(авг!$L$2:$L$191,авг!$D$2:$D$191,"Rezident",авг!$I$2:$I$191,СводкаРасходов242[[#This Row],[Резидент]])</f>
        <v>0</v>
      </c>
      <c r="J177" s="5"/>
      <c r="K177" s="10">
        <f>+SUMIFS(окт!$L$2:$L$267,окт!$D$2:$D$267,"Rezident",окт!$I$2:$I$267,СводкаРасходов242[[#This Row],[Резидент]])</f>
        <v>0</v>
      </c>
      <c r="L177" s="10"/>
      <c r="M177" s="5"/>
      <c r="N177" s="5">
        <f>SUM(СводкаРасходов242[[#This Row],[Январь]:[Декабрь]])</f>
        <v>10382059</v>
      </c>
      <c r="O177" s="6"/>
      <c r="P177" s="30">
        <f>IFERROR(+СводкаРасходов242[[#This Row],[Итог]]/СводкаРасходов242[[#Totals],[Итог]],0)</f>
        <v>8.6566357312571098E-3</v>
      </c>
    </row>
    <row r="178" spans="1:16" ht="16.8" x14ac:dyDescent="0.4">
      <c r="A178" s="23" t="s">
        <v>85</v>
      </c>
      <c r="B178" s="5">
        <f>+SUMIF(янв!$I$151:$I$322,СводкаРасходов242[[#This Row],[Резидент]],янв!$L$151:$L$322)</f>
        <v>28145499</v>
      </c>
      <c r="C178" s="5">
        <v>44066884</v>
      </c>
      <c r="D178" s="5">
        <f>+SUMIFS(мар!$L$5:$L$74,мар!$D$5:$D$74,мар!$D$57,мар!$I$5:$I$74,СводкаРасходов242[[#This Row],[Резидент]])</f>
        <v>7099185</v>
      </c>
      <c r="E178" s="5"/>
      <c r="F178" s="5"/>
      <c r="G178" s="5"/>
      <c r="H178" s="10">
        <f>+SUMIFS(июл!$L$2:$L$44,июл!$D$2:$D$44,"Rezident",июл!$I$2:$I$44,СводкаРасходов242[[#This Row],[Резидент]])</f>
        <v>0</v>
      </c>
      <c r="I178" s="10">
        <f>+SUMIFS(авг!$L$2:$L$191,авг!$D$2:$D$191,"Rezident",авг!$I$2:$I$191,СводкаРасходов242[[#This Row],[Резидент]])</f>
        <v>0</v>
      </c>
      <c r="J178" s="5"/>
      <c r="K178" s="10">
        <f>+SUMIFS(окт!$L$2:$L$267,окт!$D$2:$D$267,"Rezident",окт!$I$2:$I$267,СводкаРасходов242[[#This Row],[Резидент]])</f>
        <v>0</v>
      </c>
      <c r="L178" s="10"/>
      <c r="M178" s="5"/>
      <c r="N178" s="5">
        <f>SUM(СводкаРасходов242[[#This Row],[Январь]:[Декабрь]])</f>
        <v>79311568</v>
      </c>
      <c r="O178" s="6"/>
      <c r="P178" s="30">
        <f>IFERROR(+СводкаРасходов242[[#This Row],[Итог]]/СводкаРасходов242[[#Totals],[Итог]],0)</f>
        <v>6.6130557864372372E-2</v>
      </c>
    </row>
    <row r="179" spans="1:16" ht="16.8" hidden="1" x14ac:dyDescent="0.4">
      <c r="A179" s="23" t="s">
        <v>86</v>
      </c>
      <c r="B179" s="5">
        <f>+SUMIF(янв!$I$151:$I$322,СводкаРасходов242[[#This Row],[Резидент]],янв!$L$151:$L$322)</f>
        <v>0</v>
      </c>
      <c r="C179" s="5">
        <f>+SUMIF(фев!$I$127:$I$231,СводкаРасходов242[[#This Row],[Резидент]],фев!$L$127:$L$231)</f>
        <v>0</v>
      </c>
      <c r="D179" s="5">
        <f>+SUMIFS(мар!$L$5:$L$74,мар!$D$5:$D$74,мар!$D$57,мар!$I$5:$I$74,СводкаРасходов242[[#This Row],[Резидент]])</f>
        <v>0</v>
      </c>
      <c r="E179" s="5"/>
      <c r="F179" s="5"/>
      <c r="G179" s="5"/>
      <c r="H179" s="10">
        <f>+SUMIFS(июл!$L$2:$L$44,июл!$D$2:$D$44,"Rezident",июл!$I$2:$I$44,СводкаРасходов242[[#This Row],[Резидент]])</f>
        <v>0</v>
      </c>
      <c r="I179" s="10">
        <f>+SUMIFS(авг!$L$2:$L$191,авг!$D$2:$D$191,"Rezident",авг!$I$2:$I$191,СводкаРасходов242[[#This Row],[Резидент]])</f>
        <v>0</v>
      </c>
      <c r="J179" s="5"/>
      <c r="K179" s="10">
        <f>+SUMIFS(окт!$L$2:$L$267,окт!$D$2:$D$267,"Rezident",окт!$I$2:$I$267,СводкаРасходов242[[#This Row],[Резидент]])</f>
        <v>0</v>
      </c>
      <c r="L179" s="10"/>
      <c r="M179" s="5"/>
      <c r="N179" s="5">
        <f>SUM(СводкаРасходов242[[#This Row],[Январь]:[Декабрь]])</f>
        <v>0</v>
      </c>
      <c r="O179" s="6"/>
      <c r="P179" s="30">
        <f>IFERROR(+СводкаРасходов242[[#This Row],[Итог]]/СводкаРасходов242[[#Totals],[Итог]],0)</f>
        <v>0</v>
      </c>
    </row>
    <row r="180" spans="1:16" ht="16.8" hidden="1" x14ac:dyDescent="0.4">
      <c r="A180" s="23" t="s">
        <v>87</v>
      </c>
      <c r="B180" s="5">
        <f>+SUMIF(янв!$I$151:$I$322,СводкаРасходов242[[#This Row],[Резидент]],янв!$L$151:$L$322)</f>
        <v>0</v>
      </c>
      <c r="C180" s="5">
        <f>+SUMIF(фев!$I$127:$I$231,СводкаРасходов242[[#This Row],[Резидент]],фев!$L$127:$L$231)</f>
        <v>0</v>
      </c>
      <c r="D180" s="5">
        <f>+SUMIFS(мар!$L$5:$L$74,мар!$D$5:$D$74,мар!$D$57,мар!$I$5:$I$74,СводкаРасходов242[[#This Row],[Резидент]])</f>
        <v>0</v>
      </c>
      <c r="E180" s="5"/>
      <c r="F180" s="5"/>
      <c r="G180" s="5"/>
      <c r="H180" s="10">
        <f>+SUMIFS(июл!$L$2:$L$44,июл!$D$2:$D$44,"Rezident",июл!$I$2:$I$44,СводкаРасходов242[[#This Row],[Резидент]])</f>
        <v>0</v>
      </c>
      <c r="I180" s="10">
        <f>+SUMIFS(авг!$L$2:$L$191,авг!$D$2:$D$191,"Rezident",авг!$I$2:$I$191,СводкаРасходов242[[#This Row],[Резидент]])</f>
        <v>0</v>
      </c>
      <c r="J180" s="5"/>
      <c r="K180" s="10">
        <f>+SUMIFS(окт!$L$2:$L$267,окт!$D$2:$D$267,"Rezident",окт!$I$2:$I$267,СводкаРасходов242[[#This Row],[Резидент]])</f>
        <v>0</v>
      </c>
      <c r="L180" s="10"/>
      <c r="M180" s="5"/>
      <c r="N180" s="5">
        <f>SUM(СводкаРасходов242[[#This Row],[Январь]:[Декабрь]])</f>
        <v>0</v>
      </c>
      <c r="O180" s="6"/>
      <c r="P180" s="30">
        <f>IFERROR(+СводкаРасходов242[[#This Row],[Итог]]/СводкаРасходов242[[#Totals],[Итог]],0)</f>
        <v>0</v>
      </c>
    </row>
    <row r="181" spans="1:16" ht="16.8" hidden="1" x14ac:dyDescent="0.4">
      <c r="A181" s="23" t="s">
        <v>88</v>
      </c>
      <c r="B181" s="5">
        <f>+SUMIF(янв!$I$151:$I$322,СводкаРасходов242[[#This Row],[Резидент]],янв!$L$151:$L$322)</f>
        <v>0</v>
      </c>
      <c r="C181" s="5">
        <f>+SUMIF(фев!$I$127:$I$231,СводкаРасходов242[[#This Row],[Резидент]],фев!$L$127:$L$231)</f>
        <v>0</v>
      </c>
      <c r="D181" s="5">
        <f>+SUMIFS(мар!$L$5:$L$74,мар!$D$5:$D$74,мар!$D$57,мар!$I$5:$I$74,СводкаРасходов242[[#This Row],[Резидент]])</f>
        <v>0</v>
      </c>
      <c r="E181" s="5"/>
      <c r="F181" s="5"/>
      <c r="G181" s="5"/>
      <c r="H181" s="10">
        <f>+SUMIFS(июл!$L$2:$L$44,июл!$D$2:$D$44,"Rezident",июл!$I$2:$I$44,СводкаРасходов242[[#This Row],[Резидент]])</f>
        <v>0</v>
      </c>
      <c r="I181" s="10">
        <f>+SUMIFS(авг!$L$2:$L$191,авг!$D$2:$D$191,"Rezident",авг!$I$2:$I$191,СводкаРасходов242[[#This Row],[Резидент]])</f>
        <v>0</v>
      </c>
      <c r="J181" s="5"/>
      <c r="K181" s="10">
        <f>+SUMIFS(окт!$L$2:$L$267,окт!$D$2:$D$267,"Rezident",окт!$I$2:$I$267,СводкаРасходов242[[#This Row],[Резидент]])</f>
        <v>0</v>
      </c>
      <c r="L181" s="10"/>
      <c r="M181" s="5"/>
      <c r="N181" s="5">
        <f>SUM(СводкаРасходов242[[#This Row],[Январь]:[Декабрь]])</f>
        <v>0</v>
      </c>
      <c r="O181" s="6"/>
      <c r="P181" s="31">
        <f>IFERROR(+СводкаРасходов242[[#This Row],[Итог]]/СводкаРасходов242[[#Totals],[Итог]],0)</f>
        <v>0</v>
      </c>
    </row>
    <row r="182" spans="1:16" ht="16.8" hidden="1" x14ac:dyDescent="0.4">
      <c r="A182" s="23" t="s">
        <v>89</v>
      </c>
      <c r="B182" s="5">
        <f>+SUMIF(янв!$I$151:$I$322,СводкаРасходов242[[#This Row],[Резидент]],янв!$L$151:$L$322)</f>
        <v>0</v>
      </c>
      <c r="C182" s="5">
        <f>+SUMIF(фев!$I$127:$I$231,СводкаРасходов242[[#This Row],[Резидент]],фев!$L$127:$L$231)</f>
        <v>0</v>
      </c>
      <c r="D182" s="5">
        <f>+SUMIFS(мар!$L$5:$L$74,мар!$D$5:$D$74,мар!$D$57,мар!$I$5:$I$74,СводкаРасходов242[[#This Row],[Резидент]])</f>
        <v>0</v>
      </c>
      <c r="E182" s="5"/>
      <c r="F182" s="5"/>
      <c r="G182" s="5"/>
      <c r="H182" s="10">
        <f>+SUMIFS(июл!$L$2:$L$44,июл!$D$2:$D$44,"Rezident",июл!$I$2:$I$44,СводкаРасходов242[[#This Row],[Резидент]])</f>
        <v>0</v>
      </c>
      <c r="I182" s="10">
        <f>+SUMIFS(авг!$L$2:$L$191,авг!$D$2:$D$191,"Rezident",авг!$I$2:$I$191,СводкаРасходов242[[#This Row],[Резидент]])</f>
        <v>0</v>
      </c>
      <c r="J182" s="5"/>
      <c r="K182" s="10">
        <f>+SUMIFS(окт!$L$2:$L$267,окт!$D$2:$D$267,"Rezident",окт!$I$2:$I$267,СводкаРасходов242[[#This Row],[Резидент]])</f>
        <v>0</v>
      </c>
      <c r="L182" s="10"/>
      <c r="M182" s="5"/>
      <c r="N182" s="5">
        <f>SUM(СводкаРасходов242[[#This Row],[Январь]:[Декабрь]])</f>
        <v>0</v>
      </c>
      <c r="P182" s="31">
        <f>IFERROR(+СводкаРасходов242[[#This Row],[Итог]]/СводкаРасходов242[[#Totals],[Итог]],0)</f>
        <v>0</v>
      </c>
    </row>
    <row r="183" spans="1:16" ht="16.8" hidden="1" x14ac:dyDescent="0.4">
      <c r="A183" s="23" t="s">
        <v>90</v>
      </c>
      <c r="B183" s="5">
        <f>+SUMIF(янв!$I$151:$I$322,СводкаРасходов242[[#This Row],[Резидент]],янв!$L$151:$L$322)</f>
        <v>0</v>
      </c>
      <c r="C183" s="5">
        <f>+SUMIF(фев!$I$127:$I$231,СводкаРасходов242[[#This Row],[Резидент]],фев!$L$127:$L$231)</f>
        <v>0</v>
      </c>
      <c r="D183" s="5">
        <f>+SUMIFS(мар!$L$5:$L$74,мар!$D$5:$D$74,мар!$D$57,мар!$I$5:$I$74,СводкаРасходов242[[#This Row],[Резидент]])</f>
        <v>0</v>
      </c>
      <c r="E183" s="5"/>
      <c r="F183" s="5"/>
      <c r="G183" s="5"/>
      <c r="H183" s="10">
        <f>+SUMIFS(июл!$L$2:$L$44,июл!$D$2:$D$44,"Rezident",июл!$I$2:$I$44,СводкаРасходов242[[#This Row],[Резидент]])</f>
        <v>0</v>
      </c>
      <c r="I183" s="10">
        <f>+SUMIFS(авг!$L$2:$L$191,авг!$D$2:$D$191,"Rezident",авг!$I$2:$I$191,СводкаРасходов242[[#This Row],[Резидент]])</f>
        <v>0</v>
      </c>
      <c r="J183" s="5"/>
      <c r="K183" s="10">
        <f>+SUMIFS(окт!$L$2:$L$267,окт!$D$2:$D$267,"Rezident",окт!$I$2:$I$267,СводкаРасходов242[[#This Row],[Резидент]])</f>
        <v>0</v>
      </c>
      <c r="L183" s="10"/>
      <c r="M183" s="5"/>
      <c r="N183" s="5">
        <f>SUM(СводкаРасходов242[[#This Row],[Январь]:[Декабрь]])</f>
        <v>0</v>
      </c>
      <c r="P183" s="31">
        <f>IFERROR(+СводкаРасходов242[[#This Row],[Итог]]/СводкаРасходов242[[#Totals],[Итог]],0)</f>
        <v>0</v>
      </c>
    </row>
    <row r="184" spans="1:16" ht="16.8" hidden="1" x14ac:dyDescent="0.4">
      <c r="A184" s="23" t="s">
        <v>91</v>
      </c>
      <c r="B184" s="5">
        <f>+SUMIF(янв!$I$151:$I$322,СводкаРасходов242[[#This Row],[Резидент]],янв!$L$151:$L$322)</f>
        <v>0</v>
      </c>
      <c r="C184" s="5">
        <f>+SUMIF(фев!$I$127:$I$231,СводкаРасходов242[[#This Row],[Резидент]],фев!$L$127:$L$231)</f>
        <v>0</v>
      </c>
      <c r="D184" s="5">
        <f>+SUMIFS(мар!$L$5:$L$74,мар!$D$5:$D$74,мар!$D$57,мар!$I$5:$I$74,СводкаРасходов242[[#This Row],[Резидент]])</f>
        <v>0</v>
      </c>
      <c r="E184" s="5"/>
      <c r="F184" s="5"/>
      <c r="G184" s="5"/>
      <c r="H184" s="10">
        <f>+SUMIFS(июл!$L$2:$L$44,июл!$D$2:$D$44,"Rezident",июл!$I$2:$I$44,СводкаРасходов242[[#This Row],[Резидент]])</f>
        <v>0</v>
      </c>
      <c r="I184" s="10">
        <f>+SUMIFS(авг!$L$2:$L$191,авг!$D$2:$D$191,"Rezident",авг!$I$2:$I$191,СводкаРасходов242[[#This Row],[Резидент]])</f>
        <v>0</v>
      </c>
      <c r="J184" s="5"/>
      <c r="K184" s="10">
        <f>+SUMIFS(окт!$L$2:$L$267,окт!$D$2:$D$267,"Rezident",окт!$I$2:$I$267,СводкаРасходов242[[#This Row],[Резидент]])</f>
        <v>0</v>
      </c>
      <c r="L184" s="10"/>
      <c r="M184" s="5"/>
      <c r="N184" s="5">
        <f>SUM(СводкаРасходов242[[#This Row],[Январь]:[Декабрь]])</f>
        <v>0</v>
      </c>
      <c r="P184" s="31">
        <f>IFERROR(+СводкаРасходов242[[#This Row],[Итог]]/СводкаРасходов242[[#Totals],[Итог]],0)</f>
        <v>0</v>
      </c>
    </row>
    <row r="185" spans="1:16" ht="16.8" hidden="1" x14ac:dyDescent="0.4">
      <c r="A185" s="23" t="s">
        <v>92</v>
      </c>
      <c r="B185" s="5">
        <f>+SUMIF(янв!$I$151:$I$322,СводкаРасходов242[[#This Row],[Резидент]],янв!$L$151:$L$322)</f>
        <v>0</v>
      </c>
      <c r="C185" s="5">
        <f>+SUMIF(фев!$I$127:$I$231,СводкаРасходов242[[#This Row],[Резидент]],фев!$L$127:$L$231)</f>
        <v>0</v>
      </c>
      <c r="D185" s="5">
        <f>+SUMIFS(мар!$L$5:$L$74,мар!$D$5:$D$74,мар!$D$57,мар!$I$5:$I$74,СводкаРасходов242[[#This Row],[Резидент]])</f>
        <v>0</v>
      </c>
      <c r="E185" s="5"/>
      <c r="F185" s="5"/>
      <c r="G185" s="5"/>
      <c r="H185" s="10">
        <f>+SUMIFS(июл!$L$2:$L$44,июл!$D$2:$D$44,"Rezident",июл!$I$2:$I$44,СводкаРасходов242[[#This Row],[Резидент]])</f>
        <v>0</v>
      </c>
      <c r="I185" s="10">
        <f>+SUMIFS(авг!$L$2:$L$191,авг!$D$2:$D$191,"Rezident",авг!$I$2:$I$191,СводкаРасходов242[[#This Row],[Резидент]])</f>
        <v>0</v>
      </c>
      <c r="J185" s="5"/>
      <c r="K185" s="10">
        <f>+SUMIFS(окт!$L$2:$L$267,окт!$D$2:$D$267,"Rezident",окт!$I$2:$I$267,СводкаРасходов242[[#This Row],[Резидент]])</f>
        <v>0</v>
      </c>
      <c r="L185" s="10"/>
      <c r="M185" s="5"/>
      <c r="N185" s="5">
        <f>SUM(СводкаРасходов242[[#This Row],[Январь]:[Декабрь]])</f>
        <v>0</v>
      </c>
      <c r="P185" s="31">
        <f>IFERROR(+СводкаРасходов242[[#This Row],[Итог]]/СводкаРасходов242[[#Totals],[Итог]],0)</f>
        <v>0</v>
      </c>
    </row>
    <row r="186" spans="1:16" ht="16.8" hidden="1" x14ac:dyDescent="0.4">
      <c r="A186" s="23" t="s">
        <v>93</v>
      </c>
      <c r="B186" s="5">
        <f>+SUMIF(янв!$I$151:$I$322,СводкаРасходов242[[#This Row],[Резидент]],янв!$L$151:$L$322)</f>
        <v>0</v>
      </c>
      <c r="C186" s="5">
        <f>+SUMIF(фев!$I$127:$I$231,СводкаРасходов242[[#This Row],[Резидент]],фев!$L$127:$L$231)</f>
        <v>0</v>
      </c>
      <c r="D186" s="5">
        <f>+SUMIFS(мар!$L$5:$L$74,мар!$D$5:$D$74,мар!$D$57,мар!$I$5:$I$74,СводкаРасходов242[[#This Row],[Резидент]])</f>
        <v>0</v>
      </c>
      <c r="E186" s="5"/>
      <c r="F186" s="5"/>
      <c r="G186" s="5"/>
      <c r="H186" s="10">
        <f>+SUMIFS(июл!$L$2:$L$44,июл!$D$2:$D$44,"Rezident",июл!$I$2:$I$44,СводкаРасходов242[[#This Row],[Резидент]])</f>
        <v>0</v>
      </c>
      <c r="I186" s="10">
        <f>+SUMIFS(авг!$L$2:$L$191,авг!$D$2:$D$191,"Rezident",авг!$I$2:$I$191,СводкаРасходов242[[#This Row],[Резидент]])</f>
        <v>0</v>
      </c>
      <c r="J186" s="5"/>
      <c r="K186" s="10">
        <f>+SUMIFS(окт!$L$2:$L$267,окт!$D$2:$D$267,"Rezident",окт!$I$2:$I$267,СводкаРасходов242[[#This Row],[Резидент]])</f>
        <v>0</v>
      </c>
      <c r="L186" s="10"/>
      <c r="M186" s="5"/>
      <c r="N186" s="5">
        <f>SUM(СводкаРасходов242[[#This Row],[Январь]:[Декабрь]])</f>
        <v>0</v>
      </c>
      <c r="P186" s="31">
        <f>IFERROR(+СводкаРасходов242[[#This Row],[Итог]]/СводкаРасходов242[[#Totals],[Итог]],0)</f>
        <v>0</v>
      </c>
    </row>
    <row r="187" spans="1:16" ht="16.8" hidden="1" x14ac:dyDescent="0.4">
      <c r="A187" s="23" t="s">
        <v>94</v>
      </c>
      <c r="B187" s="5">
        <f>+SUMIF(янв!$I$151:$I$322,СводкаРасходов242[[#This Row],[Резидент]],янв!$L$151:$L$322)</f>
        <v>0</v>
      </c>
      <c r="C187" s="5">
        <f>+SUMIF(фев!$I$127:$I$231,СводкаРасходов242[[#This Row],[Резидент]],фев!$L$127:$L$231)</f>
        <v>0</v>
      </c>
      <c r="D187" s="5">
        <f>+SUMIFS(мар!$L$5:$L$74,мар!$D$5:$D$74,мар!$D$57,мар!$I$5:$I$74,СводкаРасходов242[[#This Row],[Резидент]])</f>
        <v>0</v>
      </c>
      <c r="E187" s="5"/>
      <c r="F187" s="5"/>
      <c r="G187" s="5"/>
      <c r="H187" s="10">
        <f>+SUMIFS(июл!$L$2:$L$44,июл!$D$2:$D$44,"Rezident",июл!$I$2:$I$44,СводкаРасходов242[[#This Row],[Резидент]])</f>
        <v>0</v>
      </c>
      <c r="I187" s="10">
        <f>+SUMIFS(авг!$L$2:$L$191,авг!$D$2:$D$191,"Rezident",авг!$I$2:$I$191,СводкаРасходов242[[#This Row],[Резидент]])</f>
        <v>0</v>
      </c>
      <c r="J187" s="5"/>
      <c r="K187" s="10">
        <f>+SUMIFS(окт!$L$2:$L$267,окт!$D$2:$D$267,"Rezident",окт!$I$2:$I$267,СводкаРасходов242[[#This Row],[Резидент]])</f>
        <v>0</v>
      </c>
      <c r="L187" s="10"/>
      <c r="M187" s="5"/>
      <c r="N187" s="5">
        <f>SUM(СводкаРасходов242[[#This Row],[Январь]:[Декабрь]])</f>
        <v>0</v>
      </c>
      <c r="P187" s="31">
        <f>IFERROR(+СводкаРасходов242[[#This Row],[Итог]]/СводкаРасходов242[[#Totals],[Итог]],0)</f>
        <v>0</v>
      </c>
    </row>
    <row r="188" spans="1:16" ht="16.8" x14ac:dyDescent="0.4">
      <c r="A188" s="23" t="s">
        <v>229</v>
      </c>
      <c r="B188" s="5">
        <f>+SUMIF(янв!$I$151:$I$322,СводкаРасходов242[[#This Row],[Резидент]],янв!$L$151:$L$322)</f>
        <v>5205731</v>
      </c>
      <c r="C188" s="5">
        <f>+SUMIF(фев!$I$127:$I$231,СводкаРасходов242[[#This Row],[Резидент]],фев!$L$127:$L$231)</f>
        <v>15856672</v>
      </c>
      <c r="D188" s="5">
        <f>+SUMIFS(мар!$L$5:$L$74,мар!$D$5:$D$74,мар!$D$57,мар!$I$5:$I$74,СводкаРасходов242[[#This Row],[Резидент]])</f>
        <v>0</v>
      </c>
      <c r="E188" s="5"/>
      <c r="F188" s="5"/>
      <c r="G188" s="5"/>
      <c r="H188" s="10">
        <f>+SUMIFS(июл!$L$2:$L$44,июл!$D$2:$D$44,"Rezident",июл!$I$2:$I$44,СводкаРасходов242[[#This Row],[Резидент]])</f>
        <v>0</v>
      </c>
      <c r="I188" s="10">
        <f>+SUMIFS(авг!$L$2:$L$191,авг!$D$2:$D$191,"Rezident",авг!$I$2:$I$191,СводкаРасходов242[[#This Row],[Резидент]])</f>
        <v>0</v>
      </c>
      <c r="J188" s="10"/>
      <c r="K188" s="10">
        <f>+SUMIFS(окт!$L$2:$L$267,окт!$D$2:$D$267,"Rezident",окт!$I$2:$I$267,СводкаРасходов242[[#This Row],[Резидент]])</f>
        <v>0</v>
      </c>
      <c r="L188" s="10"/>
      <c r="M188" s="5"/>
      <c r="N188" s="5">
        <f>SUM(СводкаРасходов242[[#This Row],[Январь]:[Декабрь]])</f>
        <v>21062403</v>
      </c>
      <c r="P188" s="31">
        <f>IFERROR(+СводкаРасходов242[[#This Row],[Итог]]/СводкаРасходов242[[#Totals],[Итог]],0)</f>
        <v>1.7561983648516827E-2</v>
      </c>
    </row>
    <row r="189" spans="1:16" ht="16.8" hidden="1" x14ac:dyDescent="0.4">
      <c r="A189" s="23" t="s">
        <v>95</v>
      </c>
      <c r="B189" s="5">
        <f>+SUMIF(янв!$I$151:$I$322,СводкаРасходов242[[#This Row],[Резидент]],янв!$L$151:$L$322)</f>
        <v>0</v>
      </c>
      <c r="C189" s="5">
        <f>+SUMIF(фев!$I$127:$I$231,СводкаРасходов242[[#This Row],[Резидент]],фев!$L$127:$L$231)</f>
        <v>0</v>
      </c>
      <c r="D189" s="5">
        <f>+SUMIFS(мар!$L$5:$L$74,мар!$D$5:$D$74,мар!$D$57,мар!$I$5:$I$74,СводкаРасходов242[[#This Row],[Резидент]])</f>
        <v>0</v>
      </c>
      <c r="E189" s="5"/>
      <c r="F189" s="5"/>
      <c r="G189" s="5"/>
      <c r="H189" s="10">
        <f>+SUMIFS(июл!$L$2:$L$44,июл!$D$2:$D$44,"Rezident",июл!$I$2:$I$44,СводкаРасходов242[[#This Row],[Резидент]])</f>
        <v>0</v>
      </c>
      <c r="I189" s="10">
        <f>+SUMIFS(авг!$L$2:$L$191,авг!$D$2:$D$191,"Rezident",авг!$I$2:$I$191,СводкаРасходов242[[#This Row],[Резидент]])</f>
        <v>0</v>
      </c>
      <c r="J189" s="5"/>
      <c r="K189" s="10">
        <f>+SUMIFS(окт!$L$2:$L$267,окт!$D$2:$D$267,"Rezident",окт!$I$2:$I$267,СводкаРасходов242[[#This Row],[Резидент]])</f>
        <v>0</v>
      </c>
      <c r="L189" s="10"/>
      <c r="M189" s="5"/>
      <c r="N189" s="5">
        <f>SUM(СводкаРасходов242[[#This Row],[Январь]:[Декабрь]])</f>
        <v>0</v>
      </c>
      <c r="P189" s="31">
        <f>IFERROR(+СводкаРасходов242[[#This Row],[Итог]]/СводкаРасходов242[[#Totals],[Итог]],0)</f>
        <v>0</v>
      </c>
    </row>
    <row r="190" spans="1:16" ht="16.8" hidden="1" x14ac:dyDescent="0.4">
      <c r="A190" s="23" t="s">
        <v>96</v>
      </c>
      <c r="B190" s="5">
        <f>+SUMIF(янв!$I$151:$I$322,СводкаРасходов242[[#This Row],[Резидент]],янв!$L$151:$L$322)</f>
        <v>0</v>
      </c>
      <c r="C190" s="5">
        <f>+SUMIF(фев!$I$127:$I$231,СводкаРасходов242[[#This Row],[Резидент]],фев!$L$127:$L$231)</f>
        <v>0</v>
      </c>
      <c r="D190" s="5">
        <f>+SUMIFS(мар!$L$5:$L$74,мар!$D$5:$D$74,мар!$D$57,мар!$I$5:$I$74,СводкаРасходов242[[#This Row],[Резидент]])</f>
        <v>0</v>
      </c>
      <c r="E190" s="5"/>
      <c r="F190" s="5"/>
      <c r="G190" s="5"/>
      <c r="H190" s="10">
        <f>+SUMIFS(июл!$L$2:$L$44,июл!$D$2:$D$44,"Rezident",июл!$I$2:$I$44,СводкаРасходов242[[#This Row],[Резидент]])</f>
        <v>0</v>
      </c>
      <c r="I190" s="10">
        <f>+SUMIFS(авг!$L$2:$L$191,авг!$D$2:$D$191,"Rezident",авг!$I$2:$I$191,СводкаРасходов242[[#This Row],[Резидент]])</f>
        <v>0</v>
      </c>
      <c r="J190" s="5"/>
      <c r="K190" s="10">
        <f>+SUMIFS(окт!$L$2:$L$267,окт!$D$2:$D$267,"Rezident",окт!$I$2:$I$267,СводкаРасходов242[[#This Row],[Резидент]])</f>
        <v>0</v>
      </c>
      <c r="L190" s="10"/>
      <c r="M190" s="5"/>
      <c r="N190" s="5">
        <f>SUM(СводкаРасходов242[[#This Row],[Январь]:[Декабрь]])</f>
        <v>0</v>
      </c>
      <c r="P190" s="31">
        <f>IFERROR(+СводкаРасходов242[[#This Row],[Итог]]/СводкаРасходов242[[#Totals],[Итог]],0)</f>
        <v>0</v>
      </c>
    </row>
    <row r="191" spans="1:16" ht="16.8" x14ac:dyDescent="0.4">
      <c r="A191" s="23" t="s">
        <v>97</v>
      </c>
      <c r="B191" s="5">
        <f>+SUMIF(янв!$I$151:$I$322,СводкаРасходов242[[#This Row],[Резидент]],янв!$L$151:$L$322)</f>
        <v>114389863</v>
      </c>
      <c r="C191" s="5">
        <f>+SUMIF(фев!$I$127:$I$231,СводкаРасходов242[[#This Row],[Резидент]],фев!$L$127:$L$231)</f>
        <v>129412957</v>
      </c>
      <c r="D191" s="5">
        <f>+SUMIFS(мар!$L$5:$L$74,мар!$D$5:$D$74,мар!$D$57,мар!$I$5:$I$74,СводкаРасходов242[[#This Row],[Резидент]])</f>
        <v>24198238</v>
      </c>
      <c r="E191" s="5"/>
      <c r="F191" s="5"/>
      <c r="G191" s="5"/>
      <c r="H191" s="10">
        <f>+SUMIFS(июл!$L$2:$L$44,июл!$D$2:$D$44,"Rezident",июл!$I$2:$I$44,СводкаРасходов242[[#This Row],[Резидент]])</f>
        <v>9212704</v>
      </c>
      <c r="I191" s="10">
        <f>+SUMIFS(авг!$L$2:$L$191,авг!$D$2:$D$191,"Rezident",авг!$I$2:$I$191,СводкаРасходов242[[#This Row],[Резидент]])</f>
        <v>55620000</v>
      </c>
      <c r="J191" s="5"/>
      <c r="K191" s="10">
        <f>+SUMIFS(окт!$L$2:$L$267,окт!$D$2:$D$267,"Rezident",окт!$I$2:$I$267,СводкаРасходов242[[#This Row],[Резидент]])</f>
        <v>325936287</v>
      </c>
      <c r="L191" s="10"/>
      <c r="M191" s="5"/>
      <c r="N191" s="5">
        <f>SUM(СводкаРасходов242[[#This Row],[Январь]:[Декабрь]])</f>
        <v>658770049</v>
      </c>
      <c r="P191" s="31">
        <f>IFERROR(+СводкаРасходов242[[#This Row],[Итог]]/СводкаРасходов242[[#Totals],[Итог]],0)</f>
        <v>0.54928722181750234</v>
      </c>
    </row>
    <row r="192" spans="1:16" ht="16.8" hidden="1" x14ac:dyDescent="0.4">
      <c r="A192" s="23" t="s">
        <v>98</v>
      </c>
      <c r="B192" s="5">
        <f>+SUMIF(янв!$I$151:$I$322,СводкаРасходов242[[#This Row],[Резидент]],янв!$L$151:$L$322)</f>
        <v>0</v>
      </c>
      <c r="C192" s="5">
        <f>+SUMIF(фев!$I$127:$I$231,СводкаРасходов242[[#This Row],[Резидент]],фев!$L$127:$L$231)</f>
        <v>0</v>
      </c>
      <c r="D192" s="5">
        <f>+SUMIFS(мар!$L$5:$L$74,мар!$D$5:$D$74,мар!$D$57,мар!$I$5:$I$74,СводкаРасходов242[[#This Row],[Резидент]])</f>
        <v>0</v>
      </c>
      <c r="E192" s="5"/>
      <c r="F192" s="5"/>
      <c r="G192" s="5"/>
      <c r="H192" s="10">
        <f>+SUMIFS(июл!$L$2:$L$44,июл!$D$2:$D$44,"Rezident",июл!$I$2:$I$44,СводкаРасходов242[[#This Row],[Резидент]])</f>
        <v>0</v>
      </c>
      <c r="I192" s="10">
        <f>+SUMIFS(авг!$L$2:$L$191,авг!$D$2:$D$191,"Rezident",авг!$I$2:$I$191,СводкаРасходов242[[#This Row],[Резидент]])</f>
        <v>0</v>
      </c>
      <c r="J192" s="5"/>
      <c r="K192" s="10">
        <f>+SUMIFS(окт!$L$2:$L$267,окт!$D$2:$D$267,"Rezident",окт!$I$2:$I$267,СводкаРасходов242[[#This Row],[Резидент]])</f>
        <v>0</v>
      </c>
      <c r="L192" s="10"/>
      <c r="M192" s="5"/>
      <c r="N192" s="5">
        <f>SUM(СводкаРасходов242[[#This Row],[Январь]:[Декабрь]])</f>
        <v>0</v>
      </c>
      <c r="P192" s="31">
        <f>IFERROR(+СводкаРасходов242[[#This Row],[Итог]]/СводкаРасходов242[[#Totals],[Итог]],0)</f>
        <v>0</v>
      </c>
    </row>
    <row r="193" spans="1:16" ht="16.8" x14ac:dyDescent="0.4">
      <c r="A193" s="23" t="s">
        <v>99</v>
      </c>
      <c r="B193" s="5">
        <f>+SUMIF(янв!$I$151:$I$322,СводкаРасходов242[[#This Row],[Резидент]],янв!$L$151:$L$322)</f>
        <v>7649260</v>
      </c>
      <c r="C193" s="5">
        <v>17743761</v>
      </c>
      <c r="D193" s="5">
        <f>+SUMIFS(мар!$L$5:$L$74,мар!$D$5:$D$74,мар!$D$57,мар!$I$5:$I$74,СводкаРасходов242[[#This Row],[Резидент]])</f>
        <v>0</v>
      </c>
      <c r="E193" s="5"/>
      <c r="F193" s="5"/>
      <c r="G193" s="5"/>
      <c r="H193" s="10">
        <f>+SUMIFS(июл!$L$2:$L$44,июл!$D$2:$D$44,"Rezident",июл!$I$2:$I$44,СводкаРасходов242[[#This Row],[Резидент]])</f>
        <v>0</v>
      </c>
      <c r="I193" s="10">
        <f>+SUMIFS(авг!$L$2:$L$191,авг!$D$2:$D$191,"Rezident",авг!$I$2:$I$191,СводкаРасходов242[[#This Row],[Резидент]])</f>
        <v>0</v>
      </c>
      <c r="J193" s="5"/>
      <c r="K193" s="10">
        <f>+SUMIFS(окт!$L$2:$L$267,окт!$D$2:$D$267,"Rezident",окт!$I$2:$I$267,СводкаРасходов242[[#This Row],[Резидент]])</f>
        <v>0</v>
      </c>
      <c r="L193" s="10"/>
      <c r="M193" s="5"/>
      <c r="N193" s="5">
        <f>SUM(СводкаРасходов242[[#This Row],[Январь]:[Декабрь]])</f>
        <v>25393021</v>
      </c>
      <c r="P193" s="31">
        <f>IFERROR(+СводкаРасходов242[[#This Row],[Итог]]/СводкаРасходов242[[#Totals],[Итог]],0)</f>
        <v>2.1172884195048609E-2</v>
      </c>
    </row>
    <row r="194" spans="1:16" ht="16.8" hidden="1" x14ac:dyDescent="0.4">
      <c r="A194" s="23" t="s">
        <v>100</v>
      </c>
      <c r="B194" s="5">
        <f>+SUMIF(янв!$I$151:$I$322,СводкаРасходов242[[#This Row],[Резидент]],янв!$L$151:$L$322)</f>
        <v>0</v>
      </c>
      <c r="C194" s="5">
        <f>+SUMIF(фев!$I$127:$I$231,СводкаРасходов242[[#This Row],[Резидент]],фев!$L$127:$L$231)</f>
        <v>0</v>
      </c>
      <c r="D194" s="5">
        <f>+SUMIFS(мар!$L$5:$L$74,мар!$D$5:$D$74,мар!$D$57,мар!$I$5:$I$74,СводкаРасходов242[[#This Row],[Резидент]])</f>
        <v>0</v>
      </c>
      <c r="E194" s="5"/>
      <c r="F194" s="5"/>
      <c r="G194" s="5"/>
      <c r="H194" s="10">
        <f>+SUMIFS(июл!$L$2:$L$44,июл!$D$2:$D$44,"Rezident",июл!$I$2:$I$44,СводкаРасходов242[[#This Row],[Резидент]])</f>
        <v>0</v>
      </c>
      <c r="I194" s="10">
        <f>+SUMIFS(авг!$L$2:$L$191,авг!$D$2:$D$191,"Rezident",авг!$I$2:$I$191,СводкаРасходов242[[#This Row],[Резидент]])</f>
        <v>0</v>
      </c>
      <c r="J194" s="5"/>
      <c r="K194" s="10">
        <f>+SUMIFS(окт!$L$2:$L$267,окт!$D$2:$D$267,"Rezident",окт!$I$2:$I$267,СводкаРасходов242[[#This Row],[Резидент]])</f>
        <v>0</v>
      </c>
      <c r="L194" s="10"/>
      <c r="M194" s="5"/>
      <c r="N194" s="5">
        <f>SUM(СводкаРасходов242[[#This Row],[Январь]:[Декабрь]])</f>
        <v>0</v>
      </c>
      <c r="P194" s="31">
        <f>IFERROR(+СводкаРасходов242[[#This Row],[Итог]]/СводкаРасходов242[[#Totals],[Итог]],0)</f>
        <v>0</v>
      </c>
    </row>
    <row r="195" spans="1:16" ht="16.8" x14ac:dyDescent="0.4">
      <c r="A195" s="23" t="s">
        <v>101</v>
      </c>
      <c r="B195" s="5">
        <f>+SUMIF(янв!$I$151:$I$322,СводкаРасходов242[[#This Row],[Резидент]],янв!$L$151:$L$322)</f>
        <v>26263024</v>
      </c>
      <c r="C195" s="5">
        <f>+SUMIF(фев!$I$127:$I$231,СводкаРасходов242[[#This Row],[Резидент]],фев!$L$127:$L$231)</f>
        <v>0</v>
      </c>
      <c r="D195" s="5">
        <f>+SUMIFS(мар!$L$5:$L$74,мар!$D$5:$D$74,мар!$D$57,мар!$I$5:$I$74,СводкаРасходов242[[#This Row],[Резидент]])</f>
        <v>0</v>
      </c>
      <c r="E195" s="5"/>
      <c r="F195" s="5"/>
      <c r="G195" s="5"/>
      <c r="H195" s="10">
        <f>+SUMIFS(июл!$L$2:$L$44,июл!$D$2:$D$44,"Rezident",июл!$I$2:$I$44,СводкаРасходов242[[#This Row],[Резидент]])</f>
        <v>0</v>
      </c>
      <c r="I195" s="10">
        <f>+SUMIFS(авг!$L$2:$L$191,авг!$D$2:$D$191,"Rezident",авг!$I$2:$I$191,СводкаРасходов242[[#This Row],[Резидент]])</f>
        <v>0</v>
      </c>
      <c r="J195" s="5"/>
      <c r="K195" s="10">
        <f>+SUMIFS(окт!$L$2:$L$267,окт!$D$2:$D$267,"Rezident",окт!$I$2:$I$267,СводкаРасходов242[[#This Row],[Резидент]])</f>
        <v>0</v>
      </c>
      <c r="L195" s="10"/>
      <c r="M195" s="5"/>
      <c r="N195" s="5">
        <f>SUM(СводкаРасходов242[[#This Row],[Январь]:[Декабрь]])</f>
        <v>26263024</v>
      </c>
      <c r="P195" s="31">
        <f>IFERROR(+СводкаРасходов242[[#This Row],[Итог]]/СводкаРасходов242[[#Totals],[Итог]],0)</f>
        <v>2.189829897607623E-2</v>
      </c>
    </row>
    <row r="196" spans="1:16" ht="16.8" x14ac:dyDescent="0.4">
      <c r="A196" s="23" t="s">
        <v>102</v>
      </c>
      <c r="B196" s="5">
        <f>+SUMIF(янв!$I$151:$I$322,СводкаРасходов242[[#This Row],[Резидент]],янв!$L$151:$L$322)</f>
        <v>0</v>
      </c>
      <c r="C196" s="5">
        <v>42428351</v>
      </c>
      <c r="D196" s="5">
        <f>+SUMIFS(мар!$L$5:$L$74,мар!$D$5:$D$74,мар!$D$57,мар!$I$5:$I$74,СводкаРасходов242[[#This Row],[Резидент]])</f>
        <v>0</v>
      </c>
      <c r="E196" s="5"/>
      <c r="F196" s="5"/>
      <c r="G196" s="5"/>
      <c r="H196" s="10">
        <f>+SUMIFS(июл!$L$2:$L$44,июл!$D$2:$D$44,"Rezident",июл!$I$2:$I$44,СводкаРасходов242[[#This Row],[Резидент]])</f>
        <v>0</v>
      </c>
      <c r="I196" s="10">
        <f>+SUMIFS(авг!$L$2:$L$191,авг!$D$2:$D$191,"Rezident",авг!$I$2:$I$191,СводкаРасходов242[[#This Row],[Резидент]])</f>
        <v>0</v>
      </c>
      <c r="J196" s="5"/>
      <c r="K196" s="10">
        <f>+SUMIFS(окт!$L$2:$L$267,окт!$D$2:$D$267,"Rezident",окт!$I$2:$I$267,СводкаРасходов242[[#This Row],[Резидент]])</f>
        <v>0</v>
      </c>
      <c r="L196" s="10"/>
      <c r="M196" s="5"/>
      <c r="N196" s="5">
        <f>SUM(СводкаРасходов242[[#This Row],[Январь]:[Декабрь]])</f>
        <v>42428351</v>
      </c>
      <c r="P196" s="31">
        <f>IFERROR(+СводкаРасходов242[[#This Row],[Итог]]/СводкаРасходов242[[#Totals],[Итог]],0)</f>
        <v>3.5377065309002607E-2</v>
      </c>
    </row>
    <row r="197" spans="1:16" ht="30" customHeight="1" x14ac:dyDescent="0.4">
      <c r="A197" s="7"/>
      <c r="B197" s="137">
        <f>SUBTOTAL(109,СводкаРасходов242[Январь])</f>
        <v>308926726</v>
      </c>
      <c r="C197" s="137">
        <f>SUBTOTAL(109,СводкаРасходов242[Февраль])</f>
        <v>380472598</v>
      </c>
      <c r="D197" s="137">
        <f>SUBTOTAL(109,СводкаРасходов242[Март])</f>
        <v>46114574</v>
      </c>
      <c r="E197" s="137">
        <f>SUBTOTAL(109,СводкаРасходов242[Апрель])</f>
        <v>0</v>
      </c>
      <c r="F197" s="137">
        <f>SUBTOTAL(109,СводкаРасходов242[Май])</f>
        <v>0</v>
      </c>
      <c r="G197" s="137">
        <f>SUBTOTAL(109,СводкаРасходов242[Июнь])</f>
        <v>7617932</v>
      </c>
      <c r="H197" s="137">
        <f>SUBTOTAL(109,СводкаРасходов242[Июль])</f>
        <v>11004305</v>
      </c>
      <c r="I197" s="137">
        <f>SUBTOTAL(109,СводкаРасходов242[Август])</f>
        <v>55620000</v>
      </c>
      <c r="J197" s="137">
        <f>SUBTOTAL(109,СводкаРасходов242[Сентябрь])</f>
        <v>1055000</v>
      </c>
      <c r="K197" s="137">
        <f>SUBTOTAL(109,СводкаРасходов242[Октябрь])</f>
        <v>388506859</v>
      </c>
      <c r="L197" s="137">
        <f>SUBTOTAL(109,СводкаРасходов242[Ноябрь])</f>
        <v>0</v>
      </c>
      <c r="M197" s="137">
        <f>SUBTOTAL(109,СводкаРасходов242[Декабрь])</f>
        <v>0</v>
      </c>
      <c r="N197" s="8">
        <f>SUBTOTAL(109,СводкаРасходов242[Итог])</f>
        <v>1199317994</v>
      </c>
      <c r="P197" s="32">
        <f>SUBTOTAL(109,СводкаРасходов242[%])</f>
        <v>1</v>
      </c>
    </row>
    <row r="198" spans="1:16" ht="30" customHeight="1" x14ac:dyDescent="0.4">
      <c r="A198" s="209" t="s">
        <v>450</v>
      </c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1"/>
      <c r="O198" s="212"/>
      <c r="P198" s="213"/>
    </row>
    <row r="199" spans="1:16" ht="30" customHeight="1" x14ac:dyDescent="0.4">
      <c r="A199" s="21" t="s">
        <v>21</v>
      </c>
      <c r="B199" s="21" t="s">
        <v>0</v>
      </c>
      <c r="C199" s="21" t="s">
        <v>1</v>
      </c>
      <c r="D199" s="21" t="s">
        <v>2</v>
      </c>
      <c r="E199" s="21" t="s">
        <v>3</v>
      </c>
      <c r="F199" s="21" t="s">
        <v>4</v>
      </c>
      <c r="G199" s="21" t="s">
        <v>5</v>
      </c>
      <c r="H199" s="21" t="s">
        <v>6</v>
      </c>
      <c r="I199" s="21" t="s">
        <v>7</v>
      </c>
      <c r="J199" s="21" t="s">
        <v>8</v>
      </c>
      <c r="K199" s="21" t="s">
        <v>9</v>
      </c>
      <c r="L199" s="21" t="s">
        <v>10</v>
      </c>
      <c r="M199" s="21" t="s">
        <v>11</v>
      </c>
      <c r="N199" s="21" t="s">
        <v>13</v>
      </c>
      <c r="O199" s="21" t="s">
        <v>12</v>
      </c>
      <c r="P199" s="21" t="s">
        <v>15</v>
      </c>
    </row>
    <row r="200" spans="1:16" ht="30" customHeight="1" x14ac:dyDescent="0.4">
      <c r="A200" s="23" t="s">
        <v>19</v>
      </c>
      <c r="B200" s="5">
        <f>+SUMIF(янв!$M$5:$M$322,СводкаРасходов23[[#This Row],[Способ покупки]],янв!$L$5:$L$322)</f>
        <v>200268091</v>
      </c>
      <c r="C200" s="5">
        <f>+SUMIF(фев!M4:M231,СводкаРасходов23[[#This Row],[Способ покупки]],фев!L4:L231)</f>
        <v>146477276</v>
      </c>
      <c r="D200" s="5">
        <f>+SUMIF(мар!M4:M74,СводкаРасходов23[[#This Row],[Способ покупки]],мар!L4:L74)</f>
        <v>122834435</v>
      </c>
      <c r="E200" s="5"/>
      <c r="F200" s="5">
        <f>+SUMIF(май!$M$2:$M$32,СводкаРасходов23[[#This Row],[Способ покупки]],май!$L$2:$L$32)</f>
        <v>88561272</v>
      </c>
      <c r="G200" s="5">
        <f>+SUMIF(июн!$M$3:$M$17,СводкаРасходов23[[#This Row],[Способ покупки]],июн!$L$3:$L$17)</f>
        <v>18423168</v>
      </c>
      <c r="H200" s="5"/>
      <c r="I200" s="5">
        <f>+авг!L88+авг!L190</f>
        <v>9964780</v>
      </c>
      <c r="J200" s="5">
        <f>+SUMIF(сен!$M$2:$M$173,СводкаРасходов23[[#This Row],[Способ покупки]],сен!$L$2:$L$173)</f>
        <v>359802268</v>
      </c>
      <c r="K200" s="5">
        <f>+SUMIF(окт!$M$2:$M$267,СводкаРасходов23[[#This Row],[Способ покупки]],окт!$L$2:$L$267)</f>
        <v>716614202</v>
      </c>
      <c r="L200" s="5"/>
      <c r="M200" s="5"/>
      <c r="N200" s="5">
        <f>SUM(СводкаРасходов23[[#This Row],[Январь]:[Декабрь]])</f>
        <v>1662945492</v>
      </c>
      <c r="O200" s="21"/>
      <c r="P200" s="155">
        <f>IFERROR(+СводкаРасходов23[[#This Row],[Итог]]/СводкаРасходов23[[#Totals],[Итог]],0)</f>
        <v>0.27488595967966645</v>
      </c>
    </row>
    <row r="201" spans="1:16" ht="30" customHeight="1" x14ac:dyDescent="0.4">
      <c r="A201" s="23" t="s">
        <v>20</v>
      </c>
      <c r="B201" s="5">
        <f>+SUMIF(янв!$M$5:$M$322,СводкаРасходов23[[#This Row],[Способ покупки]],янв!$L$5:$L$322)</f>
        <v>642813793</v>
      </c>
      <c r="C201" s="5">
        <f>+SUMIF(фев!M5:M232,СводкаРасходов23[[#This Row],[Способ покупки]],фев!L5:L232)</f>
        <v>781568154</v>
      </c>
      <c r="D201" s="5">
        <f>+SUMIF(мар!M5:M75,СводкаРасходов23[[#This Row],[Способ покупки]],мар!L5:L75)</f>
        <v>189441206</v>
      </c>
      <c r="E201" s="5">
        <f>+апр!L25</f>
        <v>95004338</v>
      </c>
      <c r="F201" s="5">
        <f>+SUMIF(май!$M$2:$M$32,СводкаРасходов23[[#This Row],[Способ покупки]],май!$L$2:$L$32)</f>
        <v>0</v>
      </c>
      <c r="G201" s="5">
        <f>+SUMIF(июн!$M$3:$M$17,СводкаРасходов23[[#This Row],[Способ покупки]],июн!$L$3:$L$17)</f>
        <v>7617932</v>
      </c>
      <c r="H201" s="5">
        <f>+июл!L45</f>
        <v>222183696</v>
      </c>
      <c r="I201" s="5">
        <f>+СводкаРасходов[[#Totals],[Август]]-I200</f>
        <v>1210350000</v>
      </c>
      <c r="J201" s="5">
        <f>+SUMIF(сен!$M$2:$M$173,СводкаРасходов23[[#This Row],[Способ покупки]],сен!$L$2:$L$173)</f>
        <v>765434042.58000004</v>
      </c>
      <c r="K201" s="5">
        <f>+SUMIF(окт!$M$2:$M$267,СводкаРасходов23[[#This Row],[Способ покупки]],окт!$L$2:$L$267)</f>
        <v>472224577</v>
      </c>
      <c r="L201" s="5"/>
      <c r="M201" s="5"/>
      <c r="N201" s="5">
        <f>SUM(СводкаРасходов23[[#This Row],[Январь]:[Декабрь]])</f>
        <v>4386637738.5799999</v>
      </c>
      <c r="O201" s="21"/>
      <c r="P201" s="155">
        <f>IFERROR(+СводкаРасходов23[[#This Row],[Итог]]/СводкаРасходов23[[#Totals],[Итог]],0)</f>
        <v>0.72511404032033355</v>
      </c>
    </row>
    <row r="202" spans="1:16" ht="30" customHeight="1" x14ac:dyDescent="0.4">
      <c r="A202" s="7"/>
      <c r="B202" s="137">
        <f>SUBTOTAL(109,СводкаРасходов23[Январь])</f>
        <v>843081884</v>
      </c>
      <c r="C202" s="137">
        <f>SUBTOTAL(109,СводкаРасходов23[Февраль])</f>
        <v>928045430</v>
      </c>
      <c r="D202" s="137">
        <f>SUBTOTAL(109,СводкаРасходов23[Март])</f>
        <v>312275641</v>
      </c>
      <c r="E202" s="137">
        <f>SUBTOTAL(109,СводкаРасходов23[Апрель])</f>
        <v>95004338</v>
      </c>
      <c r="F202" s="137">
        <f>SUBTOTAL(109,СводкаРасходов23[Май])</f>
        <v>88561272</v>
      </c>
      <c r="G202" s="137">
        <f>SUBTOTAL(109,СводкаРасходов23[Июнь])</f>
        <v>26041100</v>
      </c>
      <c r="H202" s="137">
        <f>SUBTOTAL(109,СводкаРасходов23[Июль])</f>
        <v>222183696</v>
      </c>
      <c r="I202" s="137">
        <f>SUBTOTAL(109,СводкаРасходов23[Август])</f>
        <v>1220314780</v>
      </c>
      <c r="J202" s="137">
        <f>SUBTOTAL(109,СводкаРасходов23[Сентябрь])</f>
        <v>1125236310.5799999</v>
      </c>
      <c r="K202" s="137">
        <f>SUBTOTAL(109,СводкаРасходов23[Октябрь])</f>
        <v>1188838779</v>
      </c>
      <c r="L202" s="137">
        <f>SUBTOTAL(109,СводкаРасходов23[Ноябрь])</f>
        <v>0</v>
      </c>
      <c r="M202" s="137">
        <f>SUBTOTAL(109,СводкаРасходов23[Декабрь])</f>
        <v>0</v>
      </c>
      <c r="N202" s="8">
        <f>SUBTOTAL(109,СводкаРасходов23[Итог])</f>
        <v>6049583230.5799999</v>
      </c>
      <c r="P202" s="32">
        <f>SUBTOTAL(109,СводкаРасходов23[%])</f>
        <v>1</v>
      </c>
    </row>
    <row r="203" spans="1:16" ht="30" customHeight="1" x14ac:dyDescent="0.4">
      <c r="A203" s="169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1"/>
      <c r="O203" s="172"/>
    </row>
    <row r="204" spans="1:16" ht="30" customHeight="1" x14ac:dyDescent="0.4">
      <c r="B204" s="3" t="s">
        <v>0</v>
      </c>
      <c r="C204" s="3" t="s">
        <v>1</v>
      </c>
      <c r="D204" s="3" t="s">
        <v>2</v>
      </c>
      <c r="E204" s="3" t="s">
        <v>3</v>
      </c>
      <c r="F204" s="3" t="s">
        <v>4</v>
      </c>
      <c r="G204" s="3" t="s">
        <v>5</v>
      </c>
      <c r="H204" s="3" t="s">
        <v>6</v>
      </c>
      <c r="I204" s="3" t="s">
        <v>7</v>
      </c>
      <c r="J204" s="3" t="s">
        <v>8</v>
      </c>
      <c r="K204" s="3" t="s">
        <v>9</v>
      </c>
      <c r="L204" s="3" t="s">
        <v>10</v>
      </c>
      <c r="M204" s="3" t="s">
        <v>11</v>
      </c>
      <c r="N204" s="9"/>
    </row>
    <row r="221" spans="1:16" ht="30" customHeight="1" x14ac:dyDescent="0.4">
      <c r="A221" s="218" t="s">
        <v>449</v>
      </c>
      <c r="B221" s="223">
        <v>43466</v>
      </c>
      <c r="C221" s="223">
        <v>43831</v>
      </c>
      <c r="D221" s="220"/>
      <c r="E221" s="223">
        <v>43497</v>
      </c>
      <c r="F221" s="223">
        <v>43862</v>
      </c>
      <c r="G221" s="220"/>
      <c r="H221" s="223">
        <v>43525</v>
      </c>
      <c r="I221" s="223">
        <v>43891</v>
      </c>
      <c r="J221" s="220"/>
      <c r="K221" s="223">
        <v>43556</v>
      </c>
      <c r="L221" s="223">
        <v>43922</v>
      </c>
      <c r="M221" s="220"/>
    </row>
    <row r="222" spans="1:16" ht="30" customHeight="1" x14ac:dyDescent="0.4">
      <c r="A222" s="219" t="s">
        <v>448</v>
      </c>
      <c r="B222" s="273">
        <v>951476132</v>
      </c>
      <c r="C222" s="274">
        <f>+СводкаРасходов[[#Totals],[Январь]]</f>
        <v>843081884</v>
      </c>
      <c r="D222" s="221">
        <f>+IFERROR(C222/B222,0)-1</f>
        <v>-0.11392219347862742</v>
      </c>
      <c r="E222" s="273">
        <v>808682845</v>
      </c>
      <c r="F222" s="274">
        <f>+СводкаРасходов23[[#Totals],[Февраль]]</f>
        <v>928045430</v>
      </c>
      <c r="G222" s="221">
        <f>+IFERROR(F222/E222,0)-1</f>
        <v>0.14760123296544014</v>
      </c>
      <c r="H222" s="273">
        <v>807605724</v>
      </c>
      <c r="I222" s="274">
        <f>+СводкаРасходов23[[#Totals],[Март]]</f>
        <v>312275641</v>
      </c>
      <c r="J222" s="221">
        <f>+IFERROR(I222/H222,0)-1</f>
        <v>-0.61333156549048928</v>
      </c>
      <c r="K222" s="273">
        <v>807605724</v>
      </c>
      <c r="L222" s="274">
        <f>+СводкаРасходов23[[#Totals],[Апрель]]</f>
        <v>95004338</v>
      </c>
      <c r="M222" s="221">
        <f>+IFERROR(L222/K222,0)-1</f>
        <v>-0.88236297096873972</v>
      </c>
    </row>
    <row r="223" spans="1:16" ht="30" customHeight="1" x14ac:dyDescent="0.4">
      <c r="B223" s="223">
        <v>43586</v>
      </c>
      <c r="C223" s="223">
        <v>43952</v>
      </c>
      <c r="E223" s="223">
        <v>43617</v>
      </c>
      <c r="F223" s="223">
        <v>43983</v>
      </c>
      <c r="H223" s="223">
        <v>43647</v>
      </c>
      <c r="I223" s="223">
        <v>44013</v>
      </c>
      <c r="K223" s="223">
        <v>43678</v>
      </c>
      <c r="L223" s="223">
        <v>44044</v>
      </c>
      <c r="N223" s="286"/>
      <c r="O223" s="286"/>
    </row>
    <row r="224" spans="1:16" ht="30" customHeight="1" x14ac:dyDescent="0.4">
      <c r="B224" s="273">
        <v>538775562</v>
      </c>
      <c r="C224" s="274">
        <f>+СводкаРасходов23[[#Totals],[Май]]</f>
        <v>88561272</v>
      </c>
      <c r="D224" s="221">
        <f>+IFERROR(C224/B224,0)-1</f>
        <v>-0.83562492762060359</v>
      </c>
      <c r="E224" s="273">
        <v>830442926</v>
      </c>
      <c r="F224" s="274">
        <f>+СводкаРасходов23[[#Totals],[Июнь]]</f>
        <v>26041100</v>
      </c>
      <c r="G224" s="221">
        <f>+IFERROR(F224/E224,0)-1</f>
        <v>-0.96864191483280815</v>
      </c>
      <c r="H224" s="273">
        <v>887647642</v>
      </c>
      <c r="I224" s="274">
        <f>+СводкаРасходов23[[#Totals],[Июль]]</f>
        <v>222183696</v>
      </c>
      <c r="J224" s="221">
        <f>+IFERROR(I224/H224,0)-1</f>
        <v>-0.749693813753183</v>
      </c>
      <c r="K224" s="273">
        <v>1536074536</v>
      </c>
      <c r="L224" s="274">
        <f>+СводкаРасходов[[#Totals],[Август]]</f>
        <v>1220314780</v>
      </c>
      <c r="M224" s="221">
        <f>+IFERROR(L224/K224,0)-1</f>
        <v>-0.20556278266434336</v>
      </c>
      <c r="N224" s="295"/>
      <c r="O224" s="295"/>
      <c r="P224" s="295"/>
    </row>
    <row r="225" spans="1:16" ht="30" customHeight="1" x14ac:dyDescent="0.4">
      <c r="B225" s="223">
        <v>43709</v>
      </c>
      <c r="C225" s="223">
        <v>44075</v>
      </c>
      <c r="E225" s="223">
        <v>43739</v>
      </c>
      <c r="F225" s="223">
        <v>44105</v>
      </c>
      <c r="N225" s="295"/>
      <c r="O225" s="295"/>
      <c r="P225" s="295"/>
    </row>
    <row r="226" spans="1:16" ht="30" customHeight="1" x14ac:dyDescent="0.4">
      <c r="B226" s="273">
        <v>1543069057</v>
      </c>
      <c r="C226" s="274">
        <f>+СводкаРасходов[[#Totals],[Сентябрь]]</f>
        <v>1125236310.5799999</v>
      </c>
      <c r="D226" s="221">
        <f>+IFERROR(C226/B226,0)-1</f>
        <v>-0.27078032867326174</v>
      </c>
      <c r="E226" s="273">
        <v>769430129</v>
      </c>
      <c r="F226" s="274">
        <f>+СводкаРасходов[[#Totals],[Октябрь]]</f>
        <v>1188838779</v>
      </c>
      <c r="G226" s="221">
        <f>+IFERROR(F226/E226,0)-1</f>
        <v>0.5450899752848124</v>
      </c>
      <c r="N226" s="295"/>
      <c r="O226" s="295"/>
      <c r="P226" s="295"/>
    </row>
    <row r="227" spans="1:16" ht="30" customHeight="1" x14ac:dyDescent="0.4">
      <c r="N227" s="295"/>
      <c r="O227" s="295"/>
      <c r="P227" s="295"/>
    </row>
    <row r="228" spans="1:16" ht="16.8" x14ac:dyDescent="0.4">
      <c r="A228" s="218" t="s">
        <v>737</v>
      </c>
      <c r="B228" s="218" t="s">
        <v>48</v>
      </c>
      <c r="C228" s="218" t="s">
        <v>51</v>
      </c>
      <c r="D228" s="218" t="s">
        <v>62</v>
      </c>
      <c r="E228" s="218" t="s">
        <v>800</v>
      </c>
      <c r="F228" s="218" t="s">
        <v>81</v>
      </c>
      <c r="G228" s="218" t="s">
        <v>85</v>
      </c>
      <c r="H228" s="218" t="s">
        <v>97</v>
      </c>
      <c r="I228" s="218" t="s">
        <v>738</v>
      </c>
      <c r="N228" s="286"/>
      <c r="O228" s="286"/>
    </row>
    <row r="229" spans="1:16" ht="16.8" x14ac:dyDescent="0.4">
      <c r="A229" s="219" t="s">
        <v>445</v>
      </c>
      <c r="B229" s="289"/>
      <c r="C229" s="289"/>
      <c r="D229" s="289"/>
      <c r="E229" s="289"/>
      <c r="F229" s="289"/>
      <c r="G229" s="289"/>
      <c r="H229" s="289"/>
      <c r="I229" s="290">
        <f>SUM(G229:H229)</f>
        <v>0</v>
      </c>
      <c r="N229" s="286"/>
      <c r="O229" s="286"/>
    </row>
    <row r="230" spans="1:16" ht="16.8" x14ac:dyDescent="0.4">
      <c r="A230" s="219" t="s">
        <v>121</v>
      </c>
      <c r="B230" s="289"/>
      <c r="C230" s="289"/>
      <c r="D230" s="289"/>
      <c r="E230" s="289"/>
      <c r="F230" s="289"/>
      <c r="G230" s="289"/>
      <c r="H230" s="289"/>
      <c r="I230" s="290">
        <f t="shared" ref="I230:I245" si="0">SUM(G230:H230)</f>
        <v>0</v>
      </c>
      <c r="N230" s="286"/>
      <c r="O230" s="286"/>
    </row>
    <row r="231" spans="1:16" ht="16.8" x14ac:dyDescent="0.4">
      <c r="A231" s="219" t="s">
        <v>432</v>
      </c>
      <c r="B231" s="289"/>
      <c r="C231" s="289"/>
      <c r="D231" s="289"/>
      <c r="E231" s="289"/>
      <c r="F231" s="289"/>
      <c r="G231" s="289"/>
      <c r="H231" s="289"/>
      <c r="I231" s="290">
        <f t="shared" si="0"/>
        <v>0</v>
      </c>
      <c r="N231" s="286"/>
      <c r="O231" s="286"/>
    </row>
    <row r="232" spans="1:16" ht="16.8" x14ac:dyDescent="0.4">
      <c r="A232" s="219" t="s">
        <v>314</v>
      </c>
      <c r="B232" s="289"/>
      <c r="C232" s="289"/>
      <c r="D232" s="289"/>
      <c r="E232" s="289"/>
      <c r="F232" s="289"/>
      <c r="G232" s="289"/>
      <c r="H232" s="289"/>
      <c r="I232" s="290">
        <f t="shared" si="0"/>
        <v>0</v>
      </c>
      <c r="N232" s="286"/>
      <c r="O232" s="286"/>
    </row>
    <row r="233" spans="1:16" ht="16.8" x14ac:dyDescent="0.4">
      <c r="A233" s="219" t="s">
        <v>218</v>
      </c>
      <c r="B233" s="289"/>
      <c r="C233" s="289"/>
      <c r="D233" s="289"/>
      <c r="E233" s="289"/>
      <c r="F233" s="289"/>
      <c r="G233" s="289"/>
      <c r="H233" s="289"/>
      <c r="I233" s="290">
        <f t="shared" si="0"/>
        <v>0</v>
      </c>
      <c r="N233" s="286"/>
      <c r="O233" s="286"/>
    </row>
    <row r="234" spans="1:16" ht="16.8" x14ac:dyDescent="0.4">
      <c r="A234" s="219" t="s">
        <v>308</v>
      </c>
      <c r="B234" s="289"/>
      <c r="C234" s="289"/>
      <c r="D234" s="289"/>
      <c r="E234" s="289"/>
      <c r="F234" s="289"/>
      <c r="G234" s="289"/>
      <c r="H234" s="289"/>
      <c r="I234" s="290">
        <f t="shared" si="0"/>
        <v>0</v>
      </c>
      <c r="N234" s="286"/>
      <c r="O234" s="286"/>
    </row>
    <row r="235" spans="1:16" ht="16.8" x14ac:dyDescent="0.4">
      <c r="A235" s="219" t="s">
        <v>434</v>
      </c>
      <c r="B235" s="289"/>
      <c r="C235" s="289"/>
      <c r="D235" s="289"/>
      <c r="E235" s="289"/>
      <c r="F235" s="289"/>
      <c r="G235" s="289"/>
      <c r="H235" s="289"/>
      <c r="I235" s="290">
        <f t="shared" si="0"/>
        <v>0</v>
      </c>
      <c r="N235" s="286"/>
      <c r="O235" s="286"/>
    </row>
    <row r="236" spans="1:16" ht="16.8" x14ac:dyDescent="0.4">
      <c r="A236" s="219" t="s">
        <v>131</v>
      </c>
      <c r="B236" s="289"/>
      <c r="C236" s="289"/>
      <c r="D236" s="289"/>
      <c r="E236" s="289"/>
      <c r="F236" s="289"/>
      <c r="G236" s="289"/>
      <c r="H236" s="289"/>
      <c r="I236" s="290">
        <f t="shared" si="0"/>
        <v>0</v>
      </c>
      <c r="N236" s="286"/>
      <c r="O236" s="286"/>
    </row>
    <row r="237" spans="1:16" ht="16.8" x14ac:dyDescent="0.4">
      <c r="A237" s="219" t="s">
        <v>507</v>
      </c>
      <c r="B237" s="289"/>
      <c r="C237" s="289"/>
      <c r="D237" s="289"/>
      <c r="E237" s="289"/>
      <c r="F237" s="289"/>
      <c r="G237" s="289"/>
      <c r="H237" s="289"/>
      <c r="I237" s="290">
        <f t="shared" si="0"/>
        <v>0</v>
      </c>
      <c r="N237" s="286"/>
      <c r="O237" s="286"/>
    </row>
    <row r="238" spans="1:16" ht="16.8" x14ac:dyDescent="0.4">
      <c r="A238" s="219" t="s">
        <v>412</v>
      </c>
      <c r="B238" s="289"/>
      <c r="C238" s="289"/>
      <c r="D238" s="289"/>
      <c r="E238" s="289"/>
      <c r="F238" s="289"/>
      <c r="G238" s="289"/>
      <c r="H238" s="289"/>
      <c r="I238" s="290">
        <f t="shared" si="0"/>
        <v>0</v>
      </c>
      <c r="N238" s="286"/>
      <c r="O238" s="286"/>
    </row>
    <row r="239" spans="1:16" ht="16.8" x14ac:dyDescent="0.4">
      <c r="A239" s="219" t="s">
        <v>755</v>
      </c>
      <c r="B239" s="289"/>
      <c r="C239" s="289"/>
      <c r="D239" s="289"/>
      <c r="E239" s="289"/>
      <c r="F239" s="289"/>
      <c r="G239" s="289"/>
      <c r="H239" s="289"/>
      <c r="I239" s="290">
        <f t="shared" si="0"/>
        <v>0</v>
      </c>
      <c r="N239" s="286"/>
      <c r="O239" s="286"/>
    </row>
    <row r="240" spans="1:16" ht="16.8" x14ac:dyDescent="0.4">
      <c r="A240" s="219" t="s">
        <v>438</v>
      </c>
      <c r="B240" s="289"/>
      <c r="C240" s="289"/>
      <c r="D240" s="289"/>
      <c r="E240" s="289"/>
      <c r="F240" s="289"/>
      <c r="G240" s="289"/>
      <c r="H240" s="289"/>
      <c r="I240" s="290">
        <f t="shared" si="0"/>
        <v>0</v>
      </c>
      <c r="N240" s="286"/>
      <c r="O240" s="286"/>
    </row>
    <row r="241" spans="1:15" ht="16.8" x14ac:dyDescent="0.4">
      <c r="A241" s="219" t="s">
        <v>340</v>
      </c>
      <c r="B241" s="289"/>
      <c r="C241" s="289"/>
      <c r="D241" s="289"/>
      <c r="E241" s="289"/>
      <c r="F241" s="289"/>
      <c r="G241" s="289"/>
      <c r="H241" s="289"/>
      <c r="I241" s="290">
        <f t="shared" si="0"/>
        <v>0</v>
      </c>
      <c r="N241" s="286"/>
      <c r="O241" s="286"/>
    </row>
    <row r="242" spans="1:15" ht="16.8" x14ac:dyDescent="0.4">
      <c r="A242" s="219" t="s">
        <v>351</v>
      </c>
      <c r="B242" s="289"/>
      <c r="C242" s="289"/>
      <c r="D242" s="289"/>
      <c r="E242" s="289"/>
      <c r="F242" s="289"/>
      <c r="G242" s="289"/>
      <c r="H242" s="289"/>
      <c r="I242" s="290">
        <f t="shared" si="0"/>
        <v>0</v>
      </c>
      <c r="N242" s="286"/>
      <c r="O242" s="286"/>
    </row>
    <row r="243" spans="1:15" ht="16.8" x14ac:dyDescent="0.4">
      <c r="A243" s="219" t="s">
        <v>165</v>
      </c>
      <c r="B243" s="289"/>
      <c r="C243" s="289"/>
      <c r="D243" s="289"/>
      <c r="E243" s="289"/>
      <c r="F243" s="289"/>
      <c r="G243" s="289"/>
      <c r="H243" s="289"/>
      <c r="I243" s="290">
        <f t="shared" si="0"/>
        <v>0</v>
      </c>
      <c r="N243" s="286"/>
      <c r="O243" s="286"/>
    </row>
    <row r="244" spans="1:15" ht="16.8" x14ac:dyDescent="0.4">
      <c r="A244" s="219" t="s">
        <v>441</v>
      </c>
      <c r="B244" s="289"/>
      <c r="C244" s="289"/>
      <c r="D244" s="289"/>
      <c r="E244" s="289"/>
      <c r="F244" s="289"/>
      <c r="G244" s="289"/>
      <c r="H244" s="289"/>
      <c r="I244" s="290">
        <f t="shared" si="0"/>
        <v>0</v>
      </c>
      <c r="N244" s="286"/>
      <c r="O244" s="286"/>
    </row>
    <row r="245" spans="1:15" ht="16.8" x14ac:dyDescent="0.4">
      <c r="A245" s="219" t="s">
        <v>365</v>
      </c>
      <c r="B245" s="289"/>
      <c r="C245" s="289"/>
      <c r="D245" s="289"/>
      <c r="E245" s="289"/>
      <c r="F245" s="289"/>
      <c r="G245" s="289"/>
      <c r="H245" s="289"/>
      <c r="I245" s="290">
        <f t="shared" si="0"/>
        <v>0</v>
      </c>
      <c r="N245" s="286"/>
      <c r="O245" s="286"/>
    </row>
    <row r="246" spans="1:15" ht="16.8" x14ac:dyDescent="0.4">
      <c r="A246" s="287"/>
      <c r="B246" s="288">
        <f t="shared" ref="B246:I246" si="1">SUM(B229:B245)</f>
        <v>0</v>
      </c>
      <c r="C246" s="288">
        <f t="shared" si="1"/>
        <v>0</v>
      </c>
      <c r="D246" s="288">
        <f t="shared" si="1"/>
        <v>0</v>
      </c>
      <c r="E246" s="288">
        <f t="shared" si="1"/>
        <v>0</v>
      </c>
      <c r="F246" s="288">
        <f t="shared" si="1"/>
        <v>0</v>
      </c>
      <c r="G246" s="288">
        <f t="shared" si="1"/>
        <v>0</v>
      </c>
      <c r="H246" s="288">
        <f>SUM(H229:H245)</f>
        <v>0</v>
      </c>
      <c r="I246" s="288">
        <f t="shared" si="1"/>
        <v>0</v>
      </c>
      <c r="N246" s="286"/>
    </row>
    <row r="247" spans="1:15" ht="30" customHeight="1" x14ac:dyDescent="0.4">
      <c r="N247" s="286"/>
    </row>
    <row r="248" spans="1:15" ht="30" customHeight="1" x14ac:dyDescent="0.4">
      <c r="N248" s="286"/>
    </row>
    <row r="249" spans="1:15" ht="30" customHeight="1" x14ac:dyDescent="0.4">
      <c r="N249" s="286"/>
    </row>
    <row r="250" spans="1:15" ht="30" customHeight="1" x14ac:dyDescent="0.4">
      <c r="N250" s="286"/>
    </row>
    <row r="251" spans="1:15" ht="30" customHeight="1" x14ac:dyDescent="0.4">
      <c r="N251" s="286"/>
    </row>
  </sheetData>
  <autoFilter ref="A228:I228"/>
  <dataConsolidate/>
  <mergeCells count="1">
    <mergeCell ref="B66:M66"/>
  </mergeCells>
  <dataValidations count="23">
    <dataValidation allowBlank="1" showInputMessage="1" showErrorMessage="1" prompt="Книга тенденций расходов, позволяющая отслеживать определенные расходы за период в 12 месяцев. Эта книга содержит лист советов, этот сводный лист и лист для каждого месяца." sqref="A1 E1"/>
    <dataValidation allowBlank="1" showInputMessage="1" showErrorMessage="1" prompt="Укажите виды расходов в этом столбце." sqref="A6 A199:A201 A221 A68:A95 A133:A160 B228:D228"/>
    <dataValidation allowBlank="1" showInputMessage="1" showErrorMessage="1" prompt="В этом столбце автоматически отображаются итоговые расходы за 12 месяцев." sqref="N6 N199:N201 N68:N95 N133:N160"/>
    <dataValidation allowBlank="1" showInputMessage="1" showErrorMessage="1" prompt="В этом столбце отображается спарклайн, показвающий тенденцию для одного вида расходов за 12 месяцев." sqref="O6:O63 O199:O201 O68:O130 O133:O196"/>
    <dataValidation allowBlank="1" showInputMessage="1" showErrorMessage="1" prompt="Ячейки M2–B2 содержат ссылки для перехода к подробному описанию расходов за каждый месяц календарного года с января по декабрь.  Ячейка N2 содержит ссылку для перехода к листу советов." sqref="A2"/>
    <dataValidation allowBlank="1" showInputMessage="1" showErrorMessage="1" prompt="Гиперссылка для перехода к сведениям о расходах за этот месяц" sqref="B2:M2 B204:M204"/>
    <dataValidation allowBlank="1" showInputMessage="1" showErrorMessage="1" prompt="Гиперссылка для перехода к листу советов, в котором объясняется, как работать с этой книгой" sqref="N2 N204"/>
    <dataValidation allowBlank="1" showInputMessage="1" showErrorMessage="1" prompt="В этом столбце автоматически отображается сумма расходов." sqref="B6:M6 B199:M201 B221:C221 E223:F223 K68:M95 J68:J130 J133:J196 B225:C225 B133:B160 E221:F221 E133:I160 C133:D133 C135:D160 D134 H221:I221 K221:L221 B223:C223 B68:I95 H223:I223 K223:L223 L133:M160 K133 K135:K160 E225:F225"/>
    <dataValidation allowBlank="1" showInputMessage="1" showErrorMessage="1" prompt="В ячейках B3–M3 показана гистограмма с группировкой, в которой сравниваются расходы с января по декабрь. Над каждой такой гистограммой в ячейках B2–M2 есть гиперссылка для каждого месяца. Сводка по расходам за каждый месяц приведена в сводной таблице." sqref="A3:A5"/>
    <dataValidation allowBlank="1" showInputMessage="1" showErrorMessage="1" prompt="Гистограмма с группировкой, в которой сравниваются расходы за январь. Сведения о расходах доступны по ссылке навигации в ячейке B2. Чтобы просмотреть сводку по каждой сумме расходов, перейдите к таблице &quot;Сводка расходов&quot;, которая начинается с ячейки B4." sqref="B3:B5"/>
    <dataValidation allowBlank="1" showInputMessage="1" showErrorMessage="1" prompt="Гистограмма с группировкой, в которой сравниваются расходы за февраль. Сведения о расходах доступны по ссылке навигации в ячейке C2. Чтобы просмотреть сводку по каждой сумме расходов, перейдите к таблице &quot;Сводка расходов&quot;, которая начинается с ячейки C4." sqref="C3:C5"/>
    <dataValidation allowBlank="1" showInputMessage="1" showErrorMessage="1" prompt="Гистограмма с группировкой, в которой сравниваются расходы за март. Сведения о расходах доступны по ссылке навигации в ячейке D2. Чтобы просмотреть сводку по каждой сумме расходов, перейдите к таблице &quot;Сводка расходов&quot;, которая начинается с ячейки D4." sqref="D3:D5"/>
    <dataValidation allowBlank="1" showInputMessage="1" showErrorMessage="1" prompt="Гистограмма с группировкой, в которой сравниваются расходы за апрель. Сведения о расходах доступны по ссылке навигации в ячейке E2. Чтобы просмотреть сводку по каждой сумме расходов, перейдите к таблице &quot;Сводка расходов&quot;, которая начинается с ячейки E4." sqref="E3:E5"/>
    <dataValidation allowBlank="1" showInputMessage="1" showErrorMessage="1" prompt="Гистограмма с группировкой, в которой сравниваются расходы за май. Сведения о расходах доступны по ссылке навигации в ячейке F2. Чтобы просмотреть сводку по каждой сумме расходов, перейдите к таблице &quot;Сводка расходов&quot;, которая начинается с ячейки F4." sqref="F3:F5"/>
    <dataValidation allowBlank="1" showInputMessage="1" showErrorMessage="1" prompt="Гистограмма с группировкой, в которой сравниваются расходы за июнь. Сведения о расходах доступны по ссылке навигации в ячейке G2. Чтобы просмотреть сводку по каждой сумме расходов, перейдите к таблице &quot;Сводка расходов&quot;, которая начинается с ячейки G4." sqref="G3:G5"/>
    <dataValidation allowBlank="1" showInputMessage="1" showErrorMessage="1" prompt="Гистограмма с группировкой, в которой сравниваются расходы за июль. Сведения о расходах доступны по ссылке навигации в ячейке H2. Чтобы просмотреть сводку по каждой сумме расходов, перейдите к таблице &quot;Сводка расходов&quot;, которая начинается с ячейки H4." sqref="H3:H5"/>
    <dataValidation allowBlank="1" showInputMessage="1" showErrorMessage="1" prompt="Гистограмма с группировкой, в которой сравниваются расходы за август. Сведения о расходах доступны по ссылке навигации в ячейке I2. Чтобы просмотреть сводку по каждой сумме расходов, перейдите к таблице &quot;Сводка расходов&quot;, которая начинается с ячейки I4." sqref="I3:I5"/>
    <dataValidation allowBlank="1" showInputMessage="1" showErrorMessage="1" prompt="Гистограмма с группировкой, в которой сравниваются расходы за сентябрь. Сведения о расходах доступны по ссылке навигации в ячейке J2. Чтобы просмотреть сводку по каждой сумме расходов, перейдите к таблице &quot;Сводка расходов&quot;, которая начинается с ячейки J4." sqref="J3:J5"/>
    <dataValidation allowBlank="1" showInputMessage="1" showErrorMessage="1" prompt="Гистограмма с группировкой, в которой сравниваются расходы за октябрь. Сведения о расходах доступны по ссылке навигации в ячейке K2. Чтобы просмотреть сводку по каждой сумме расходов, перейдите к таблице &quot;Сводка расходов&quot;, которая начинается с ячейки K4." sqref="K3:K5"/>
    <dataValidation allowBlank="1" showInputMessage="1" showErrorMessage="1" prompt="Гистограмма с группировкой, в которой сравниваются расходы за ноябрь. Сведения о расходах доступны по ссылке навигации в ячейке L2. Чтобы просмотреть сводку по каждой сумме расходов, перейдите к таблице &quot;Сводка расходов&quot;, которая начинается с ячейки L4." sqref="L3:L5"/>
    <dataValidation allowBlank="1" showInputMessage="1" showErrorMessage="1" prompt="Гистограмма с группировкой, в которой сравниваются расходы за декабрь. Сведения о расходах доступны по ссылке навигации в ячейке M2. Чтобы просмотреть сводку по каждой сумме расходов, перейдите к таблице &quot;Сводка расходов&quot;, которая начинается с ячейки M4." sqref="M3:M5"/>
    <dataValidation allowBlank="1" showInputMessage="1" showErrorMessage="1" prompt="Условные обозначения гистограммы с группировкой" sqref="N3:N5"/>
    <dataValidation allowBlank="1" showInputMessage="1" sqref="A228:A245 J228:L245 B229:H245"/>
  </dataValidations>
  <hyperlinks>
    <hyperlink ref="B2" location="янв!A1" tooltip="Выберите, чтобы перейти к январю" display="Январь"/>
    <hyperlink ref="C2" location="фев!A1" tooltip="Выберите, чтобы перейти к февралю" display="Февраль"/>
    <hyperlink ref="D2" location="мар!A1" tooltip="Выберите, чтобы перейти к марту" display="Март"/>
    <hyperlink ref="E2" location="апр!A1" tooltip="Выберите, чтобы перейти к апрелю" display="Апрель"/>
    <hyperlink ref="F2" location="май!A1" tooltip="Выберите, чтобы перейти к маю" display="Май"/>
    <hyperlink ref="G2" location="июн!A1" tooltip="Выберите, чтобы перейти к июню" display="Июнь"/>
    <hyperlink ref="H2" location="июл!A1" tooltip="Выберите, чтобы перейти к июлю" display="Июль"/>
    <hyperlink ref="I2" location="авг!A1" tooltip="Выберите, чтобы перейти к августу" display="Август"/>
    <hyperlink ref="J2" location="сен!A1" tooltip="Выберите, чтобы перейти к сентябрю" display="Сентябрь"/>
    <hyperlink ref="K2" location="окт!A1" tooltip="Выберите, чтобы перейти к октябрю" display="Октябрь"/>
    <hyperlink ref="L2" location="ноя!A1" tooltip="Выберите, чтобы перейти к ноябрю" display="Ноябрь"/>
    <hyperlink ref="M2" location="дек!A1" tooltip="Выберите, чтобы перейти к декабрю" display="Декабрь"/>
    <hyperlink ref="B204" location="янв!A1" tooltip="Выберите, чтобы перейти к январю" display="Январь"/>
    <hyperlink ref="C204" location="фев!A1" tooltip="Выберите, чтобы перейти к февралю" display="Февраль"/>
    <hyperlink ref="D204" location="мар!A1" tooltip="Выберите, чтобы перейти к марту" display="Март"/>
    <hyperlink ref="E204" location="апр!A1" tooltip="Выберите, чтобы перейти к апрелю" display="Апрель"/>
    <hyperlink ref="F204" location="май!A1" tooltip="Выберите, чтобы перейти к маю" display="Май"/>
    <hyperlink ref="G204" location="июн!A1" tooltip="Выберите, чтобы перейти к июню" display="Июнь"/>
    <hyperlink ref="H204" location="июл!A1" tooltip="Выберите, чтобы перейти к июлю" display="Июль"/>
    <hyperlink ref="I204" location="авг!A1" tooltip="Выберите, чтобы перейти к августу" display="Август"/>
    <hyperlink ref="J204" location="сен!A1" tooltip="Выберите, чтобы перейти к сентябрю" display="Сентябрь"/>
    <hyperlink ref="K204" location="окт!A1" tooltip="Выберите, чтобы перейти к октябрю" display="Октябрь"/>
    <hyperlink ref="L204" location="ноя!A1" tooltip="Выберите, чтобы перейти к ноябрю" display="Ноябрь"/>
    <hyperlink ref="M204" location="дек!A1" tooltip="Выберите, чтобы перейти к декабрю" display="Декабрь"/>
  </hyperlinks>
  <printOptions horizontalCentered="1"/>
  <pageMargins left="0.7" right="0.7" top="0.75" bottom="0.75" header="0.3" footer="0.3"/>
  <pageSetup paperSize="9" fitToHeight="0"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last="1" negative="1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сводка!B69:M69</xm:f>
              <xm:sqref>O69</xm:sqref>
            </x14:sparkline>
            <x14:sparkline>
              <xm:f>сводка!B70:M70</xm:f>
              <xm:sqref>O70</xm:sqref>
            </x14:sparkline>
            <x14:sparkline>
              <xm:f>сводка!B71:M71</xm:f>
              <xm:sqref>O71</xm:sqref>
            </x14:sparkline>
            <x14:sparkline>
              <xm:f>сводка!B72:M72</xm:f>
              <xm:sqref>O72</xm:sqref>
            </x14:sparkline>
            <x14:sparkline>
              <xm:f>сводка!B73:M73</xm:f>
              <xm:sqref>O73</xm:sqref>
            </x14:sparkline>
            <x14:sparkline>
              <xm:f>сводка!B74:M74</xm:f>
              <xm:sqref>O74</xm:sqref>
            </x14:sparkline>
            <x14:sparkline>
              <xm:f>сводка!B75:M75</xm:f>
              <xm:sqref>O75</xm:sqref>
            </x14:sparkline>
            <x14:sparkline>
              <xm:f>сводка!B76:M76</xm:f>
              <xm:sqref>O76</xm:sqref>
            </x14:sparkline>
            <x14:sparkline>
              <xm:f>сводка!B77:M77</xm:f>
              <xm:sqref>O77</xm:sqref>
            </x14:sparkline>
            <x14:sparkline>
              <xm:f>сводка!B78:M78</xm:f>
              <xm:sqref>O78</xm:sqref>
            </x14:sparkline>
            <x14:sparkline>
              <xm:f>сводка!B79:M79</xm:f>
              <xm:sqref>O79</xm:sqref>
            </x14:sparkline>
            <x14:sparkline>
              <xm:f>сводка!B80:M80</xm:f>
              <xm:sqref>O80</xm:sqref>
            </x14:sparkline>
            <x14:sparkline>
              <xm:f>сводка!B81:M81</xm:f>
              <xm:sqref>O81</xm:sqref>
            </x14:sparkline>
            <x14:sparkline>
              <xm:f>сводка!B82:M82</xm:f>
              <xm:sqref>O82</xm:sqref>
            </x14:sparkline>
            <x14:sparkline>
              <xm:f>сводка!B83:M83</xm:f>
              <xm:sqref>O83</xm:sqref>
            </x14:sparkline>
            <x14:sparkline>
              <xm:f>сводка!B84:M84</xm:f>
              <xm:sqref>O84</xm:sqref>
            </x14:sparkline>
            <x14:sparkline>
              <xm:f>сводка!B85:M85</xm:f>
              <xm:sqref>O85</xm:sqref>
            </x14:sparkline>
            <x14:sparkline>
              <xm:f>сводка!B86:M86</xm:f>
              <xm:sqref>O86</xm:sqref>
            </x14:sparkline>
            <x14:sparkline>
              <xm:f>сводка!B87:M87</xm:f>
              <xm:sqref>O87</xm:sqref>
            </x14:sparkline>
            <x14:sparkline>
              <xm:f>сводка!B88:M88</xm:f>
              <xm:sqref>O88</xm:sqref>
            </x14:sparkline>
            <x14:sparkline>
              <xm:f>сводка!B89:M89</xm:f>
              <xm:sqref>O89</xm:sqref>
            </x14:sparkline>
            <x14:sparkline>
              <xm:f>сводка!B90:M90</xm:f>
              <xm:sqref>O90</xm:sqref>
            </x14:sparkline>
            <x14:sparkline>
              <xm:f>сводка!B91:M91</xm:f>
              <xm:sqref>O91</xm:sqref>
            </x14:sparkline>
            <x14:sparkline>
              <xm:f>сводка!B92:M92</xm:f>
              <xm:sqref>O92</xm:sqref>
            </x14:sparkline>
            <x14:sparkline>
              <xm:f>сводка!B93:M93</xm:f>
              <xm:sqref>O93</xm:sqref>
            </x14:sparkline>
            <x14:sparkline>
              <xm:f>сводка!B94:M94</xm:f>
              <xm:sqref>O94</xm:sqref>
            </x14:sparkline>
            <x14:sparkline>
              <xm:f>сводка!B95:M95</xm:f>
              <xm:sqref>O95</xm:sqref>
            </x14:sparkline>
            <x14:sparkline>
              <xm:f>сводка!B96:M96</xm:f>
              <xm:sqref>O96</xm:sqref>
            </x14:sparkline>
            <x14:sparkline>
              <xm:f>сводка!B97:M97</xm:f>
              <xm:sqref>O97</xm:sqref>
            </x14:sparkline>
            <x14:sparkline>
              <xm:f>сводка!B98:M98</xm:f>
              <xm:sqref>O98</xm:sqref>
            </x14:sparkline>
            <x14:sparkline>
              <xm:f>сводка!B99:M99</xm:f>
              <xm:sqref>O99</xm:sqref>
            </x14:sparkline>
            <x14:sparkline>
              <xm:f>сводка!B100:M100</xm:f>
              <xm:sqref>O100</xm:sqref>
            </x14:sparkline>
            <x14:sparkline>
              <xm:f>сводка!B101:M101</xm:f>
              <xm:sqref>O101</xm:sqref>
            </x14:sparkline>
            <x14:sparkline>
              <xm:f>сводка!B102:M102</xm:f>
              <xm:sqref>O102</xm:sqref>
            </x14:sparkline>
            <x14:sparkline>
              <xm:f>сводка!B103:M103</xm:f>
              <xm:sqref>O103</xm:sqref>
            </x14:sparkline>
            <x14:sparkline>
              <xm:f>сводка!B104:M104</xm:f>
              <xm:sqref>O104</xm:sqref>
            </x14:sparkline>
            <x14:sparkline>
              <xm:f>сводка!B105:M105</xm:f>
              <xm:sqref>O105</xm:sqref>
            </x14:sparkline>
            <x14:sparkline>
              <xm:f>сводка!B106:M106</xm:f>
              <xm:sqref>O106</xm:sqref>
            </x14:sparkline>
            <x14:sparkline>
              <xm:f>сводка!B107:M107</xm:f>
              <xm:sqref>O107</xm:sqref>
            </x14:sparkline>
            <x14:sparkline>
              <xm:f>сводка!B108:M108</xm:f>
              <xm:sqref>O108</xm:sqref>
            </x14:sparkline>
            <x14:sparkline>
              <xm:f>сводка!B109:M109</xm:f>
              <xm:sqref>O109</xm:sqref>
            </x14:sparkline>
            <x14:sparkline>
              <xm:f>сводка!B110:M110</xm:f>
              <xm:sqref>O110</xm:sqref>
            </x14:sparkline>
            <x14:sparkline>
              <xm:f>сводка!B111:M111</xm:f>
              <xm:sqref>O111</xm:sqref>
            </x14:sparkline>
            <x14:sparkline>
              <xm:f>сводка!B112:M112</xm:f>
              <xm:sqref>O112</xm:sqref>
            </x14:sparkline>
            <x14:sparkline>
              <xm:f>сводка!B113:M113</xm:f>
              <xm:sqref>O113</xm:sqref>
            </x14:sparkline>
            <x14:sparkline>
              <xm:f>сводка!B114:M114</xm:f>
              <xm:sqref>O114</xm:sqref>
            </x14:sparkline>
            <x14:sparkline>
              <xm:f>сводка!B115:M115</xm:f>
              <xm:sqref>O115</xm:sqref>
            </x14:sparkline>
            <x14:sparkline>
              <xm:f>сводка!B116:M116</xm:f>
              <xm:sqref>O116</xm:sqref>
            </x14:sparkline>
            <x14:sparkline>
              <xm:f>сводка!B117:M117</xm:f>
              <xm:sqref>O117</xm:sqref>
            </x14:sparkline>
            <x14:sparkline>
              <xm:f>сводка!B118:M118</xm:f>
              <xm:sqref>O118</xm:sqref>
            </x14:sparkline>
            <x14:sparkline>
              <xm:f>сводка!B119:M119</xm:f>
              <xm:sqref>O119</xm:sqref>
            </x14:sparkline>
            <x14:sparkline>
              <xm:f>сводка!B120:M120</xm:f>
              <xm:sqref>O120</xm:sqref>
            </x14:sparkline>
            <x14:sparkline>
              <xm:f>сводка!B121:M121</xm:f>
              <xm:sqref>O121</xm:sqref>
            </x14:sparkline>
            <x14:sparkline>
              <xm:f>сводка!B122:M122</xm:f>
              <xm:sqref>O122</xm:sqref>
            </x14:sparkline>
            <x14:sparkline>
              <xm:f>сводка!B123:M123</xm:f>
              <xm:sqref>O123</xm:sqref>
            </x14:sparkline>
            <x14:sparkline>
              <xm:f>сводка!B124:M124</xm:f>
              <xm:sqref>O124</xm:sqref>
            </x14:sparkline>
            <x14:sparkline>
              <xm:f>сводка!B125:M125</xm:f>
              <xm:sqref>O125</xm:sqref>
            </x14:sparkline>
            <x14:sparkline>
              <xm:f>сводка!B126:M126</xm:f>
              <xm:sqref>O126</xm:sqref>
            </x14:sparkline>
            <x14:sparkline>
              <xm:f>сводка!B127:M127</xm:f>
              <xm:sqref>O127</xm:sqref>
            </x14:sparkline>
            <x14:sparkline>
              <xm:f>сводка!B128:M128</xm:f>
              <xm:sqref>O128</xm:sqref>
            </x14:sparkline>
            <x14:sparkline>
              <xm:f>сводка!B129:M129</xm:f>
              <xm:sqref>O129</xm:sqref>
            </x14:sparkline>
            <x14:sparkline>
              <xm:f>сводка!B130:M130</xm:f>
              <xm:sqref>O130</xm:sqref>
            </x14:sparkline>
          </x14:sparklines>
        </x14:sparklineGroup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сводка!B131:M131</xm:f>
              <xm:sqref>O131</xm:sqref>
            </x14:sparkline>
            <x14:sparkline>
              <xm:f>сводка!B132:M132</xm:f>
              <xm:sqref>O132</xm:sqref>
            </x14:sparkline>
          </x14:sparklines>
        </x14:sparklineGroup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сводка!B197:M197</xm:f>
              <xm:sqref>O197</xm:sqref>
            </x14:sparkline>
            <x14:sparkline>
              <xm:f>сводка!B198:M198</xm:f>
              <xm:sqref>O198</xm:sqref>
            </x14:sparkline>
          </x14:sparklines>
        </x14:sparklineGroup>
        <x14:sparklineGroup displayEmptyCellsAs="gap" markers="1" last="1" negative="1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сводка!B134:M134</xm:f>
              <xm:sqref>O134</xm:sqref>
            </x14:sparkline>
            <x14:sparkline>
              <xm:f>сводка!B135:M135</xm:f>
              <xm:sqref>O135</xm:sqref>
            </x14:sparkline>
            <x14:sparkline>
              <xm:f>сводка!B136:M136</xm:f>
              <xm:sqref>O136</xm:sqref>
            </x14:sparkline>
            <x14:sparkline>
              <xm:f>сводка!B137:M137</xm:f>
              <xm:sqref>O137</xm:sqref>
            </x14:sparkline>
            <x14:sparkline>
              <xm:f>сводка!B138:M138</xm:f>
              <xm:sqref>O138</xm:sqref>
            </x14:sparkline>
            <x14:sparkline>
              <xm:f>сводка!B139:M139</xm:f>
              <xm:sqref>O139</xm:sqref>
            </x14:sparkline>
            <x14:sparkline>
              <xm:f>сводка!B140:M140</xm:f>
              <xm:sqref>O140</xm:sqref>
            </x14:sparkline>
            <x14:sparkline>
              <xm:f>сводка!B141:M141</xm:f>
              <xm:sqref>O141</xm:sqref>
            </x14:sparkline>
            <x14:sparkline>
              <xm:f>сводка!B142:M142</xm:f>
              <xm:sqref>O142</xm:sqref>
            </x14:sparkline>
            <x14:sparkline>
              <xm:f>сводка!B143:M143</xm:f>
              <xm:sqref>O143</xm:sqref>
            </x14:sparkline>
            <x14:sparkline>
              <xm:f>сводка!B144:M144</xm:f>
              <xm:sqref>O144</xm:sqref>
            </x14:sparkline>
            <x14:sparkline>
              <xm:f>сводка!B145:M145</xm:f>
              <xm:sqref>O145</xm:sqref>
            </x14:sparkline>
            <x14:sparkline>
              <xm:f>сводка!B146:M146</xm:f>
              <xm:sqref>O146</xm:sqref>
            </x14:sparkline>
            <x14:sparkline>
              <xm:f>сводка!B147:M147</xm:f>
              <xm:sqref>O147</xm:sqref>
            </x14:sparkline>
            <x14:sparkline>
              <xm:f>сводка!B148:M148</xm:f>
              <xm:sqref>O148</xm:sqref>
            </x14:sparkline>
            <x14:sparkline>
              <xm:f>сводка!B149:M149</xm:f>
              <xm:sqref>O149</xm:sqref>
            </x14:sparkline>
            <x14:sparkline>
              <xm:f>сводка!B150:M150</xm:f>
              <xm:sqref>O150</xm:sqref>
            </x14:sparkline>
            <x14:sparkline>
              <xm:f>сводка!B151:M151</xm:f>
              <xm:sqref>O151</xm:sqref>
            </x14:sparkline>
            <x14:sparkline>
              <xm:f>сводка!B152:M152</xm:f>
              <xm:sqref>O152</xm:sqref>
            </x14:sparkline>
            <x14:sparkline>
              <xm:f>сводка!B153:M153</xm:f>
              <xm:sqref>O153</xm:sqref>
            </x14:sparkline>
            <x14:sparkline>
              <xm:f>сводка!B154:M154</xm:f>
              <xm:sqref>O154</xm:sqref>
            </x14:sparkline>
            <x14:sparkline>
              <xm:f>сводка!B155:M155</xm:f>
              <xm:sqref>O155</xm:sqref>
            </x14:sparkline>
            <x14:sparkline>
              <xm:f>сводка!B156:M156</xm:f>
              <xm:sqref>O156</xm:sqref>
            </x14:sparkline>
            <x14:sparkline>
              <xm:f>сводка!B157:M157</xm:f>
              <xm:sqref>O157</xm:sqref>
            </x14:sparkline>
            <x14:sparkline>
              <xm:f>сводка!B158:M158</xm:f>
              <xm:sqref>O158</xm:sqref>
            </x14:sparkline>
            <x14:sparkline>
              <xm:f>сводка!B159:M159</xm:f>
              <xm:sqref>O159</xm:sqref>
            </x14:sparkline>
            <x14:sparkline>
              <xm:f>сводка!B160:M160</xm:f>
              <xm:sqref>O160</xm:sqref>
            </x14:sparkline>
            <x14:sparkline>
              <xm:f>сводка!B161:M161</xm:f>
              <xm:sqref>O161</xm:sqref>
            </x14:sparkline>
            <x14:sparkline>
              <xm:f>сводка!B162:M162</xm:f>
              <xm:sqref>O162</xm:sqref>
            </x14:sparkline>
            <x14:sparkline>
              <xm:f>сводка!B163:M163</xm:f>
              <xm:sqref>O163</xm:sqref>
            </x14:sparkline>
            <x14:sparkline>
              <xm:f>сводка!B164:M164</xm:f>
              <xm:sqref>O164</xm:sqref>
            </x14:sparkline>
            <x14:sparkline>
              <xm:f>сводка!B165:M165</xm:f>
              <xm:sqref>O165</xm:sqref>
            </x14:sparkline>
            <x14:sparkline>
              <xm:f>сводка!B166:M166</xm:f>
              <xm:sqref>O166</xm:sqref>
            </x14:sparkline>
            <x14:sparkline>
              <xm:f>сводка!B167:M167</xm:f>
              <xm:sqref>O167</xm:sqref>
            </x14:sparkline>
            <x14:sparkline>
              <xm:f>сводка!B168:M168</xm:f>
              <xm:sqref>O168</xm:sqref>
            </x14:sparkline>
            <x14:sparkline>
              <xm:f>сводка!B169:M169</xm:f>
              <xm:sqref>O169</xm:sqref>
            </x14:sparkline>
            <x14:sparkline>
              <xm:f>сводка!B170:M170</xm:f>
              <xm:sqref>O170</xm:sqref>
            </x14:sparkline>
            <x14:sparkline>
              <xm:f>сводка!B171:M171</xm:f>
              <xm:sqref>O171</xm:sqref>
            </x14:sparkline>
            <x14:sparkline>
              <xm:f>сводка!B172:M172</xm:f>
              <xm:sqref>O172</xm:sqref>
            </x14:sparkline>
            <x14:sparkline>
              <xm:f>сводка!B173:M173</xm:f>
              <xm:sqref>O173</xm:sqref>
            </x14:sparkline>
            <x14:sparkline>
              <xm:f>сводка!B174:M174</xm:f>
              <xm:sqref>O174</xm:sqref>
            </x14:sparkline>
            <x14:sparkline>
              <xm:f>сводка!B175:M175</xm:f>
              <xm:sqref>O175</xm:sqref>
            </x14:sparkline>
            <x14:sparkline>
              <xm:f>сводка!B176:M176</xm:f>
              <xm:sqref>O176</xm:sqref>
            </x14:sparkline>
            <x14:sparkline>
              <xm:f>сводка!B177:M177</xm:f>
              <xm:sqref>O177</xm:sqref>
            </x14:sparkline>
            <x14:sparkline>
              <xm:f>сводка!B178:M178</xm:f>
              <xm:sqref>O178</xm:sqref>
            </x14:sparkline>
            <x14:sparkline>
              <xm:f>сводка!B179:M179</xm:f>
              <xm:sqref>O179</xm:sqref>
            </x14:sparkline>
            <x14:sparkline>
              <xm:f>сводка!B180:M180</xm:f>
              <xm:sqref>O180</xm:sqref>
            </x14:sparkline>
            <x14:sparkline>
              <xm:f>сводка!B181:M181</xm:f>
              <xm:sqref>O181</xm:sqref>
            </x14:sparkline>
            <x14:sparkline>
              <xm:f>сводка!B182:M182</xm:f>
              <xm:sqref>O182</xm:sqref>
            </x14:sparkline>
            <x14:sparkline>
              <xm:f>сводка!B183:M183</xm:f>
              <xm:sqref>O183</xm:sqref>
            </x14:sparkline>
            <x14:sparkline>
              <xm:f>сводка!B184:M184</xm:f>
              <xm:sqref>O184</xm:sqref>
            </x14:sparkline>
            <x14:sparkline>
              <xm:f>сводка!B185:M185</xm:f>
              <xm:sqref>O185</xm:sqref>
            </x14:sparkline>
            <x14:sparkline>
              <xm:f>сводка!B186:M186</xm:f>
              <xm:sqref>O186</xm:sqref>
            </x14:sparkline>
            <x14:sparkline>
              <xm:f>сводка!B187:M187</xm:f>
              <xm:sqref>O187</xm:sqref>
            </x14:sparkline>
            <x14:sparkline>
              <xm:f>сводка!B188:M188</xm:f>
              <xm:sqref>O188</xm:sqref>
            </x14:sparkline>
            <x14:sparkline>
              <xm:f>сводка!B189:M189</xm:f>
              <xm:sqref>O189</xm:sqref>
            </x14:sparkline>
            <x14:sparkline>
              <xm:f>сводка!B190:M190</xm:f>
              <xm:sqref>O190</xm:sqref>
            </x14:sparkline>
            <x14:sparkline>
              <xm:f>сводка!B191:M191</xm:f>
              <xm:sqref>O191</xm:sqref>
            </x14:sparkline>
            <x14:sparkline>
              <xm:f>сводка!B192:M192</xm:f>
              <xm:sqref>O192</xm:sqref>
            </x14:sparkline>
            <x14:sparkline>
              <xm:f>сводка!B193:M193</xm:f>
              <xm:sqref>O193</xm:sqref>
            </x14:sparkline>
            <x14:sparkline>
              <xm:f>сводка!B194:M194</xm:f>
              <xm:sqref>O194</xm:sqref>
            </x14:sparkline>
            <x14:sparkline>
              <xm:f>сводка!B195:M195</xm:f>
              <xm:sqref>O195</xm:sqref>
            </x14:sparkline>
            <x14:sparkline>
              <xm:f>сводка!B196:M196</xm:f>
              <xm:sqref>O196</xm:sqref>
            </x14:sparkline>
          </x14:sparklines>
        </x14:sparklineGroup>
        <x14:sparklineGroup type="column" displayEmptyCellsAs="gap" high="1" low="1" first="1" last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сводка!B64:M64</xm:f>
              <xm:sqref>B66</xm:sqref>
            </x14:sparkline>
          </x14:sparklines>
        </x14:sparklineGroup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сводка!B64:M64</xm:f>
              <xm:sqref>O64</xm:sqref>
            </x14:sparkline>
          </x14:sparklines>
        </x14:sparklineGroup>
        <x14:sparklineGroup displayEmptyCellsAs="gap" markers="1" last="1" negative="1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сводка!B7:M7</xm:f>
              <xm:sqref>O7</xm:sqref>
            </x14:sparkline>
            <x14:sparkline>
              <xm:f>сводка!B8:M8</xm:f>
              <xm:sqref>O8</xm:sqref>
            </x14:sparkline>
            <x14:sparkline>
              <xm:f>сводка!B9:M9</xm:f>
              <xm:sqref>O9</xm:sqref>
            </x14:sparkline>
            <x14:sparkline>
              <xm:f>сводка!B10:M10</xm:f>
              <xm:sqref>O10</xm:sqref>
            </x14:sparkline>
            <x14:sparkline>
              <xm:f>сводка!B11:M11</xm:f>
              <xm:sqref>O11</xm:sqref>
            </x14:sparkline>
            <x14:sparkline>
              <xm:f>сводка!B12:M12</xm:f>
              <xm:sqref>O12</xm:sqref>
            </x14:sparkline>
            <x14:sparkline>
              <xm:f>сводка!B13:M13</xm:f>
              <xm:sqref>O13</xm:sqref>
            </x14:sparkline>
            <x14:sparkline>
              <xm:f>сводка!B14:M14</xm:f>
              <xm:sqref>O14</xm:sqref>
            </x14:sparkline>
            <x14:sparkline>
              <xm:f>сводка!B15:M15</xm:f>
              <xm:sqref>O15</xm:sqref>
            </x14:sparkline>
            <x14:sparkline>
              <xm:f>сводка!B16:M16</xm:f>
              <xm:sqref>O16</xm:sqref>
            </x14:sparkline>
            <x14:sparkline>
              <xm:f>сводка!B17:M17</xm:f>
              <xm:sqref>O17</xm:sqref>
            </x14:sparkline>
            <x14:sparkline>
              <xm:f>сводка!B18:M18</xm:f>
              <xm:sqref>O18</xm:sqref>
            </x14:sparkline>
            <x14:sparkline>
              <xm:f>сводка!B19:M19</xm:f>
              <xm:sqref>O19</xm:sqref>
            </x14:sparkline>
            <x14:sparkline>
              <xm:f>сводка!B20:M20</xm:f>
              <xm:sqref>O20</xm:sqref>
            </x14:sparkline>
            <x14:sparkline>
              <xm:f>сводка!B21:M21</xm:f>
              <xm:sqref>O21</xm:sqref>
            </x14:sparkline>
            <x14:sparkline>
              <xm:f>сводка!B22:M22</xm:f>
              <xm:sqref>O22</xm:sqref>
            </x14:sparkline>
            <x14:sparkline>
              <xm:f>сводка!B23:M23</xm:f>
              <xm:sqref>O23</xm:sqref>
            </x14:sparkline>
            <x14:sparkline>
              <xm:f>сводка!B24:M24</xm:f>
              <xm:sqref>O24</xm:sqref>
            </x14:sparkline>
            <x14:sparkline>
              <xm:f>сводка!B25:M25</xm:f>
              <xm:sqref>O25</xm:sqref>
            </x14:sparkline>
            <x14:sparkline>
              <xm:f>сводка!B26:M26</xm:f>
              <xm:sqref>O26</xm:sqref>
            </x14:sparkline>
            <x14:sparkline>
              <xm:f>сводка!B27:M27</xm:f>
              <xm:sqref>O27</xm:sqref>
            </x14:sparkline>
            <x14:sparkline>
              <xm:f>сводка!B28:M28</xm:f>
              <xm:sqref>O28</xm:sqref>
            </x14:sparkline>
            <x14:sparkline>
              <xm:f>сводка!B29:M29</xm:f>
              <xm:sqref>O29</xm:sqref>
            </x14:sparkline>
            <x14:sparkline>
              <xm:f>сводка!B30:M30</xm:f>
              <xm:sqref>O30</xm:sqref>
            </x14:sparkline>
            <x14:sparkline>
              <xm:f>сводка!B31:M31</xm:f>
              <xm:sqref>O31</xm:sqref>
            </x14:sparkline>
            <x14:sparkline>
              <xm:f>сводка!B32:M32</xm:f>
              <xm:sqref>O32</xm:sqref>
            </x14:sparkline>
            <x14:sparkline>
              <xm:f>сводка!B33:M33</xm:f>
              <xm:sqref>O33</xm:sqref>
            </x14:sparkline>
            <x14:sparkline>
              <xm:f>сводка!B34:M34</xm:f>
              <xm:sqref>O34</xm:sqref>
            </x14:sparkline>
            <x14:sparkline>
              <xm:f>сводка!B35:M35</xm:f>
              <xm:sqref>O35</xm:sqref>
            </x14:sparkline>
            <x14:sparkline>
              <xm:f>сводка!B36:M36</xm:f>
              <xm:sqref>O36</xm:sqref>
            </x14:sparkline>
            <x14:sparkline>
              <xm:f>сводка!B37:M37</xm:f>
              <xm:sqref>O37</xm:sqref>
            </x14:sparkline>
            <x14:sparkline>
              <xm:f>сводка!B38:M38</xm:f>
              <xm:sqref>O38</xm:sqref>
            </x14:sparkline>
            <x14:sparkline>
              <xm:f>сводка!B39:M39</xm:f>
              <xm:sqref>O39</xm:sqref>
            </x14:sparkline>
            <x14:sparkline>
              <xm:f>сводка!B40:M40</xm:f>
              <xm:sqref>O40</xm:sqref>
            </x14:sparkline>
            <x14:sparkline>
              <xm:f>сводка!B41:M41</xm:f>
              <xm:sqref>O41</xm:sqref>
            </x14:sparkline>
            <x14:sparkline>
              <xm:f>сводка!B42:M42</xm:f>
              <xm:sqref>O42</xm:sqref>
            </x14:sparkline>
            <x14:sparkline>
              <xm:f>сводка!B43:M43</xm:f>
              <xm:sqref>O43</xm:sqref>
            </x14:sparkline>
            <x14:sparkline>
              <xm:f>сводка!B44:M44</xm:f>
              <xm:sqref>O44</xm:sqref>
            </x14:sparkline>
            <x14:sparkline>
              <xm:f>сводка!B45:M45</xm:f>
              <xm:sqref>O45</xm:sqref>
            </x14:sparkline>
            <x14:sparkline>
              <xm:f>сводка!B46:M46</xm:f>
              <xm:sqref>O46</xm:sqref>
            </x14:sparkline>
            <x14:sparkline>
              <xm:f>сводка!B47:M47</xm:f>
              <xm:sqref>O47</xm:sqref>
            </x14:sparkline>
            <x14:sparkline>
              <xm:f>сводка!B48:M48</xm:f>
              <xm:sqref>O48</xm:sqref>
            </x14:sparkline>
            <x14:sparkline>
              <xm:f>сводка!B49:M49</xm:f>
              <xm:sqref>O49</xm:sqref>
            </x14:sparkline>
            <x14:sparkline>
              <xm:f>сводка!B50:M50</xm:f>
              <xm:sqref>O50</xm:sqref>
            </x14:sparkline>
            <x14:sparkline>
              <xm:f>сводка!B51:M51</xm:f>
              <xm:sqref>O51</xm:sqref>
            </x14:sparkline>
            <x14:sparkline>
              <xm:f>сводка!B52:M52</xm:f>
              <xm:sqref>O52</xm:sqref>
            </x14:sparkline>
            <x14:sparkline>
              <xm:f>сводка!B53:M53</xm:f>
              <xm:sqref>O53</xm:sqref>
            </x14:sparkline>
            <x14:sparkline>
              <xm:f>сводка!B54:M54</xm:f>
              <xm:sqref>O54</xm:sqref>
            </x14:sparkline>
            <x14:sparkline>
              <xm:f>сводка!B55:M55</xm:f>
              <xm:sqref>O55</xm:sqref>
            </x14:sparkline>
            <x14:sparkline>
              <xm:f>сводка!B56:M56</xm:f>
              <xm:sqref>O56</xm:sqref>
            </x14:sparkline>
            <x14:sparkline>
              <xm:f>сводка!B57:M57</xm:f>
              <xm:sqref>O57</xm:sqref>
            </x14:sparkline>
            <x14:sparkline>
              <xm:f>сводка!B58:M58</xm:f>
              <xm:sqref>O58</xm:sqref>
            </x14:sparkline>
            <x14:sparkline>
              <xm:f>сводка!B59:M59</xm:f>
              <xm:sqref>O59</xm:sqref>
            </x14:sparkline>
            <x14:sparkline>
              <xm:f>сводка!B60:M60</xm:f>
              <xm:sqref>O60</xm:sqref>
            </x14:sparkline>
            <x14:sparkline>
              <xm:f>сводка!B61:M61</xm:f>
              <xm:sqref>O61</xm:sqref>
            </x14:sparkline>
            <x14:sparkline>
              <xm:f>сводка!B62:M62</xm:f>
              <xm:sqref>O62</xm:sqref>
            </x14:sparkline>
            <x14:sparkline>
              <xm:f>сводка!B63:M63</xm:f>
              <xm:sqref>O63</xm:sqref>
            </x14:sparkline>
          </x14:sparklines>
        </x14:sparklineGroup>
        <x14:sparklineGroup displayEmptyCellsAs="gap" markers="1" last="1" negative="1">
          <x14:colorSeries theme="4" tint="-0.499984740745262"/>
          <x14:colorNegative theme="6" tint="-0.499984740745262"/>
          <x14:colorAxis rgb="FF000000"/>
          <x14:colorMarkers theme="7" tint="-0.249977111117893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сводка!B200:M200</xm:f>
              <xm:sqref>O200</xm:sqref>
            </x14:sparkline>
            <x14:sparkline>
              <xm:f>сводка!B201:M201</xm:f>
              <xm:sqref>O201</xm:sqref>
            </x14:sparkline>
          </x14:sparklines>
        </x14:sparklineGroup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сводка!B203:M203</xm:f>
              <xm:sqref>O203</xm:sqref>
            </x14:sparkline>
          </x14:sparklines>
        </x14:sparklineGroup>
        <x14:sparklineGroup displayEmptyCellsAs="gap" markers="1">
          <x14:colorSeries theme="0" tint="-0.499984740745262"/>
          <x14:colorNegative theme="5"/>
          <x14:colorAxis rgb="FF000000"/>
          <x14:colorMarkers theme="7"/>
          <x14:colorFirst theme="5" tint="-0.249977111117893"/>
          <x14:colorLast theme="7" tint="-0.499984740745262"/>
          <x14:colorHigh theme="5" tint="-0.249977111117893"/>
          <x14:colorLow theme="5" tint="-0.249977111117893"/>
          <x14:sparklines>
            <x14:sparkline>
              <xm:f>сводка!B202:M202</xm:f>
              <xm:sqref>O202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M174"/>
  <sheetViews>
    <sheetView topLeftCell="A4" zoomScale="70" zoomScaleNormal="70" workbookViewId="0">
      <selection activeCell="E25" sqref="E25:E27"/>
    </sheetView>
  </sheetViews>
  <sheetFormatPr defaultColWidth="9.109375" defaultRowHeight="15.6" x14ac:dyDescent="0.3"/>
  <cols>
    <col min="1" max="1" width="3.44140625" style="75" customWidth="1"/>
    <col min="2" max="2" width="12.44140625" style="75" bestFit="1" customWidth="1"/>
    <col min="3" max="3" width="72.109375" style="75" customWidth="1"/>
    <col min="4" max="4" width="17.109375" style="75" customWidth="1"/>
    <col min="5" max="5" width="30.33203125" style="75" bestFit="1" customWidth="1"/>
    <col min="6" max="6" width="28.88671875" style="75" bestFit="1" customWidth="1"/>
    <col min="7" max="7" width="29.6640625" style="179" bestFit="1" customWidth="1"/>
    <col min="8" max="8" width="26" style="179" bestFit="1" customWidth="1"/>
    <col min="9" max="9" width="27.6640625" style="75" bestFit="1" customWidth="1"/>
    <col min="10" max="10" width="18.6640625" style="83" bestFit="1" customWidth="1"/>
    <col min="11" max="11" width="18.6640625" style="83" customWidth="1"/>
    <col min="12" max="12" width="21.5546875" style="83" bestFit="1" customWidth="1"/>
    <col min="13" max="13" width="19.33203125" style="75" bestFit="1" customWidth="1"/>
    <col min="14" max="16384" width="9.109375" style="75"/>
  </cols>
  <sheetData>
    <row r="1" spans="2:13" x14ac:dyDescent="0.3">
      <c r="B1" s="64"/>
      <c r="C1" s="64"/>
      <c r="D1" s="64"/>
      <c r="E1" s="64"/>
      <c r="F1" s="64"/>
      <c r="G1" s="176"/>
      <c r="H1" s="176"/>
      <c r="I1" s="73"/>
      <c r="J1" s="79"/>
      <c r="K1" s="326"/>
      <c r="L1" s="326"/>
      <c r="M1" s="74"/>
    </row>
    <row r="2" spans="2:13" x14ac:dyDescent="0.3">
      <c r="B2" s="65">
        <v>44102</v>
      </c>
      <c r="C2" s="72" t="s">
        <v>1325</v>
      </c>
      <c r="D2" s="67" t="s">
        <v>31</v>
      </c>
      <c r="E2" s="46" t="s">
        <v>445</v>
      </c>
      <c r="F2" s="72" t="s">
        <v>1326</v>
      </c>
      <c r="G2" s="71" t="s">
        <v>116</v>
      </c>
      <c r="H2" s="71" t="s">
        <v>1119</v>
      </c>
      <c r="I2" s="78" t="s">
        <v>85</v>
      </c>
      <c r="J2" s="82">
        <v>44106</v>
      </c>
      <c r="K2" s="82" t="s">
        <v>33</v>
      </c>
      <c r="L2" s="327">
        <v>4090917</v>
      </c>
      <c r="M2" s="67" t="s">
        <v>19</v>
      </c>
    </row>
    <row r="3" spans="2:13" x14ac:dyDescent="0.3">
      <c r="B3" s="65">
        <v>44104</v>
      </c>
      <c r="C3" s="46" t="s">
        <v>1227</v>
      </c>
      <c r="D3" s="67" t="s">
        <v>31</v>
      </c>
      <c r="E3" s="46" t="s">
        <v>330</v>
      </c>
      <c r="F3" s="46" t="s">
        <v>906</v>
      </c>
      <c r="G3" s="71" t="s">
        <v>301</v>
      </c>
      <c r="H3" s="178" t="s">
        <v>1228</v>
      </c>
      <c r="I3" s="77" t="s">
        <v>97</v>
      </c>
      <c r="J3" s="80" t="s">
        <v>1229</v>
      </c>
      <c r="K3" s="80" t="s">
        <v>39</v>
      </c>
      <c r="L3" s="327">
        <v>6222586</v>
      </c>
      <c r="M3" s="67" t="s">
        <v>20</v>
      </c>
    </row>
    <row r="4" spans="2:13" x14ac:dyDescent="0.3">
      <c r="B4" s="65">
        <v>44091</v>
      </c>
      <c r="C4" s="46" t="s">
        <v>1202</v>
      </c>
      <c r="D4" s="67" t="s">
        <v>36</v>
      </c>
      <c r="E4" s="46" t="s">
        <v>121</v>
      </c>
      <c r="F4" s="46" t="s">
        <v>1203</v>
      </c>
      <c r="G4" s="71" t="s">
        <v>301</v>
      </c>
      <c r="H4" s="178" t="s">
        <v>1204</v>
      </c>
      <c r="I4" s="77" t="s">
        <v>1147</v>
      </c>
      <c r="J4" s="80">
        <v>44087</v>
      </c>
      <c r="K4" s="80" t="s">
        <v>1148</v>
      </c>
      <c r="L4" s="327">
        <v>527500</v>
      </c>
      <c r="M4" s="67" t="s">
        <v>20</v>
      </c>
    </row>
    <row r="5" spans="2:13" x14ac:dyDescent="0.3">
      <c r="B5" s="65">
        <v>44091</v>
      </c>
      <c r="C5" s="46" t="s">
        <v>1205</v>
      </c>
      <c r="D5" s="67" t="s">
        <v>31</v>
      </c>
      <c r="E5" s="46" t="s">
        <v>121</v>
      </c>
      <c r="F5" s="46" t="s">
        <v>1203</v>
      </c>
      <c r="G5" s="71" t="s">
        <v>301</v>
      </c>
      <c r="H5" s="178" t="s">
        <v>1204</v>
      </c>
      <c r="I5" s="77" t="s">
        <v>81</v>
      </c>
      <c r="J5" s="80">
        <v>44087</v>
      </c>
      <c r="K5" s="80" t="s">
        <v>1148</v>
      </c>
      <c r="L5" s="327">
        <v>527500</v>
      </c>
      <c r="M5" s="67" t="s">
        <v>20</v>
      </c>
    </row>
    <row r="6" spans="2:13" x14ac:dyDescent="0.3">
      <c r="B6" s="65">
        <v>44091</v>
      </c>
      <c r="C6" s="46" t="s">
        <v>1206</v>
      </c>
      <c r="D6" s="67" t="s">
        <v>31</v>
      </c>
      <c r="E6" s="46" t="s">
        <v>121</v>
      </c>
      <c r="F6" s="46" t="s">
        <v>1203</v>
      </c>
      <c r="G6" s="71" t="s">
        <v>301</v>
      </c>
      <c r="H6" s="178" t="s">
        <v>1204</v>
      </c>
      <c r="I6" s="77" t="s">
        <v>81</v>
      </c>
      <c r="J6" s="80">
        <v>44087</v>
      </c>
      <c r="K6" s="80" t="s">
        <v>1148</v>
      </c>
      <c r="L6" s="327">
        <v>527500</v>
      </c>
      <c r="M6" s="67" t="s">
        <v>20</v>
      </c>
    </row>
    <row r="7" spans="2:13" x14ac:dyDescent="0.3">
      <c r="B7" s="65">
        <v>44091</v>
      </c>
      <c r="C7" s="46" t="s">
        <v>1207</v>
      </c>
      <c r="D7" s="67" t="s">
        <v>36</v>
      </c>
      <c r="E7" s="46" t="s">
        <v>121</v>
      </c>
      <c r="F7" s="46" t="s">
        <v>1203</v>
      </c>
      <c r="G7" s="71" t="s">
        <v>301</v>
      </c>
      <c r="H7" s="178" t="s">
        <v>1204</v>
      </c>
      <c r="I7" s="77" t="s">
        <v>1147</v>
      </c>
      <c r="J7" s="80">
        <v>44087</v>
      </c>
      <c r="K7" s="80" t="s">
        <v>1148</v>
      </c>
      <c r="L7" s="327">
        <v>527500</v>
      </c>
      <c r="M7" s="67" t="s">
        <v>20</v>
      </c>
    </row>
    <row r="8" spans="2:13" x14ac:dyDescent="0.3">
      <c r="B8" s="65">
        <v>44079</v>
      </c>
      <c r="C8" s="46" t="s">
        <v>1230</v>
      </c>
      <c r="D8" s="67" t="s">
        <v>31</v>
      </c>
      <c r="E8" s="46" t="s">
        <v>121</v>
      </c>
      <c r="F8" s="46" t="s">
        <v>1231</v>
      </c>
      <c r="G8" s="71" t="s">
        <v>116</v>
      </c>
      <c r="H8" s="178" t="s">
        <v>1232</v>
      </c>
      <c r="I8" s="77" t="s">
        <v>43</v>
      </c>
      <c r="J8" s="80" t="s">
        <v>1233</v>
      </c>
      <c r="K8" s="80" t="s">
        <v>39</v>
      </c>
      <c r="L8" s="327">
        <v>42376431</v>
      </c>
      <c r="M8" s="67" t="s">
        <v>19</v>
      </c>
    </row>
    <row r="9" spans="2:13" x14ac:dyDescent="0.3">
      <c r="B9" s="65">
        <v>44079</v>
      </c>
      <c r="C9" s="46" t="s">
        <v>1234</v>
      </c>
      <c r="D9" s="67" t="s">
        <v>31</v>
      </c>
      <c r="E9" s="46" t="s">
        <v>121</v>
      </c>
      <c r="F9" s="46" t="s">
        <v>1231</v>
      </c>
      <c r="G9" s="71" t="s">
        <v>116</v>
      </c>
      <c r="H9" s="178" t="s">
        <v>1232</v>
      </c>
      <c r="I9" s="77" t="s">
        <v>43</v>
      </c>
      <c r="J9" s="80" t="s">
        <v>1233</v>
      </c>
      <c r="K9" s="80" t="s">
        <v>39</v>
      </c>
      <c r="L9" s="327">
        <v>42376431</v>
      </c>
      <c r="M9" s="67" t="s">
        <v>19</v>
      </c>
    </row>
    <row r="10" spans="2:13" x14ac:dyDescent="0.3">
      <c r="B10" s="65">
        <v>44085</v>
      </c>
      <c r="C10" s="46" t="s">
        <v>1230</v>
      </c>
      <c r="D10" s="67" t="s">
        <v>31</v>
      </c>
      <c r="E10" s="46" t="s">
        <v>121</v>
      </c>
      <c r="F10" s="46" t="s">
        <v>1231</v>
      </c>
      <c r="G10" s="71" t="s">
        <v>116</v>
      </c>
      <c r="H10" s="178" t="s">
        <v>1273</v>
      </c>
      <c r="I10" s="77" t="s">
        <v>43</v>
      </c>
      <c r="J10" s="80">
        <v>44091</v>
      </c>
      <c r="K10" s="80" t="s">
        <v>33</v>
      </c>
      <c r="L10" s="327">
        <v>20581896</v>
      </c>
      <c r="M10" s="67" t="s">
        <v>19</v>
      </c>
    </row>
    <row r="11" spans="2:13" x14ac:dyDescent="0.3">
      <c r="B11" s="65">
        <v>44085</v>
      </c>
      <c r="C11" s="46" t="s">
        <v>1234</v>
      </c>
      <c r="D11" s="67" t="s">
        <v>31</v>
      </c>
      <c r="E11" s="46" t="s">
        <v>121</v>
      </c>
      <c r="F11" s="46" t="s">
        <v>1231</v>
      </c>
      <c r="G11" s="71" t="s">
        <v>116</v>
      </c>
      <c r="H11" s="178" t="s">
        <v>1273</v>
      </c>
      <c r="I11" s="77" t="s">
        <v>43</v>
      </c>
      <c r="J11" s="80">
        <v>44091</v>
      </c>
      <c r="K11" s="80" t="s">
        <v>33</v>
      </c>
      <c r="L11" s="327">
        <v>20581896</v>
      </c>
      <c r="M11" s="67" t="s">
        <v>19</v>
      </c>
    </row>
    <row r="12" spans="2:13" x14ac:dyDescent="0.3">
      <c r="B12" s="65">
        <v>44086</v>
      </c>
      <c r="C12" s="46" t="s">
        <v>1202</v>
      </c>
      <c r="D12" s="67" t="s">
        <v>31</v>
      </c>
      <c r="E12" s="46" t="s">
        <v>121</v>
      </c>
      <c r="F12" s="46" t="s">
        <v>1231</v>
      </c>
      <c r="G12" s="71" t="s">
        <v>116</v>
      </c>
      <c r="H12" s="178" t="s">
        <v>1274</v>
      </c>
      <c r="I12" s="77" t="s">
        <v>81</v>
      </c>
      <c r="J12" s="80">
        <v>44087</v>
      </c>
      <c r="K12" s="80" t="s">
        <v>247</v>
      </c>
      <c r="L12" s="327">
        <v>527500</v>
      </c>
      <c r="M12" s="67" t="s">
        <v>19</v>
      </c>
    </row>
    <row r="13" spans="2:13" x14ac:dyDescent="0.3">
      <c r="B13" s="65">
        <v>44086</v>
      </c>
      <c r="C13" s="46" t="s">
        <v>1205</v>
      </c>
      <c r="D13" s="67" t="s">
        <v>31</v>
      </c>
      <c r="E13" s="46" t="s">
        <v>121</v>
      </c>
      <c r="F13" s="46" t="s">
        <v>1231</v>
      </c>
      <c r="G13" s="71" t="s">
        <v>116</v>
      </c>
      <c r="H13" s="178" t="s">
        <v>1274</v>
      </c>
      <c r="I13" s="77" t="s">
        <v>81</v>
      </c>
      <c r="J13" s="80">
        <v>44087</v>
      </c>
      <c r="K13" s="80" t="s">
        <v>247</v>
      </c>
      <c r="L13" s="327">
        <v>527500</v>
      </c>
      <c r="M13" s="67" t="s">
        <v>19</v>
      </c>
    </row>
    <row r="14" spans="2:13" x14ac:dyDescent="0.3">
      <c r="B14" s="65">
        <v>44086</v>
      </c>
      <c r="C14" s="46" t="s">
        <v>1206</v>
      </c>
      <c r="D14" s="67" t="s">
        <v>31</v>
      </c>
      <c r="E14" s="46" t="s">
        <v>121</v>
      </c>
      <c r="F14" s="46" t="s">
        <v>1231</v>
      </c>
      <c r="G14" s="71" t="s">
        <v>116</v>
      </c>
      <c r="H14" s="178" t="s">
        <v>1274</v>
      </c>
      <c r="I14" s="77" t="s">
        <v>81</v>
      </c>
      <c r="J14" s="80">
        <v>44087</v>
      </c>
      <c r="K14" s="80" t="s">
        <v>247</v>
      </c>
      <c r="L14" s="327">
        <v>527500</v>
      </c>
      <c r="M14" s="67" t="s">
        <v>19</v>
      </c>
    </row>
    <row r="15" spans="2:13" x14ac:dyDescent="0.3">
      <c r="B15" s="65">
        <v>44086</v>
      </c>
      <c r="C15" s="46" t="s">
        <v>1207</v>
      </c>
      <c r="D15" s="67" t="s">
        <v>31</v>
      </c>
      <c r="E15" s="46" t="s">
        <v>121</v>
      </c>
      <c r="F15" s="46" t="s">
        <v>1231</v>
      </c>
      <c r="G15" s="71" t="s">
        <v>116</v>
      </c>
      <c r="H15" s="178" t="s">
        <v>1274</v>
      </c>
      <c r="I15" s="77" t="s">
        <v>81</v>
      </c>
      <c r="J15" s="80">
        <v>44087</v>
      </c>
      <c r="K15" s="80" t="s">
        <v>247</v>
      </c>
      <c r="L15" s="327">
        <v>527500</v>
      </c>
      <c r="M15" s="67" t="s">
        <v>19</v>
      </c>
    </row>
    <row r="16" spans="2:13" x14ac:dyDescent="0.3">
      <c r="B16" s="65">
        <v>44097</v>
      </c>
      <c r="C16" s="46" t="s">
        <v>1308</v>
      </c>
      <c r="D16" s="66" t="s">
        <v>31</v>
      </c>
      <c r="E16" s="46" t="s">
        <v>121</v>
      </c>
      <c r="F16" s="66" t="s">
        <v>115</v>
      </c>
      <c r="G16" s="65" t="s">
        <v>116</v>
      </c>
      <c r="H16" s="177" t="s">
        <v>38</v>
      </c>
      <c r="I16" s="77" t="s">
        <v>97</v>
      </c>
      <c r="J16" s="80">
        <v>44108</v>
      </c>
      <c r="K16" s="80" t="s">
        <v>39</v>
      </c>
      <c r="L16" s="80">
        <v>9031930</v>
      </c>
      <c r="M16" s="67" t="s">
        <v>20</v>
      </c>
    </row>
    <row r="17" spans="2:13" x14ac:dyDescent="0.3">
      <c r="B17" s="65">
        <v>44097</v>
      </c>
      <c r="C17" s="46" t="s">
        <v>1309</v>
      </c>
      <c r="D17" s="66" t="s">
        <v>31</v>
      </c>
      <c r="E17" s="46" t="s">
        <v>121</v>
      </c>
      <c r="F17" s="66" t="s">
        <v>115</v>
      </c>
      <c r="G17" s="65" t="s">
        <v>116</v>
      </c>
      <c r="H17" s="177" t="s">
        <v>38</v>
      </c>
      <c r="I17" s="77" t="s">
        <v>97</v>
      </c>
      <c r="J17" s="80">
        <v>44108</v>
      </c>
      <c r="K17" s="80" t="s">
        <v>39</v>
      </c>
      <c r="L17" s="80">
        <v>9031930</v>
      </c>
      <c r="M17" s="67" t="s">
        <v>20</v>
      </c>
    </row>
    <row r="18" spans="2:13" x14ac:dyDescent="0.3">
      <c r="B18" s="65">
        <v>44097</v>
      </c>
      <c r="C18" s="46" t="s">
        <v>1308</v>
      </c>
      <c r="D18" s="66" t="s">
        <v>31</v>
      </c>
      <c r="E18" s="46" t="s">
        <v>121</v>
      </c>
      <c r="F18" s="66" t="s">
        <v>115</v>
      </c>
      <c r="G18" s="65" t="s">
        <v>116</v>
      </c>
      <c r="H18" s="177" t="s">
        <v>32</v>
      </c>
      <c r="I18" s="77" t="s">
        <v>97</v>
      </c>
      <c r="J18" s="80">
        <v>44104</v>
      </c>
      <c r="K18" s="80" t="s">
        <v>33</v>
      </c>
      <c r="L18" s="80">
        <v>4972800</v>
      </c>
      <c r="M18" s="67" t="s">
        <v>20</v>
      </c>
    </row>
    <row r="19" spans="2:13" x14ac:dyDescent="0.3">
      <c r="B19" s="65">
        <v>44097</v>
      </c>
      <c r="C19" s="46" t="s">
        <v>1309</v>
      </c>
      <c r="D19" s="66" t="s">
        <v>31</v>
      </c>
      <c r="E19" s="46" t="s">
        <v>121</v>
      </c>
      <c r="F19" s="66" t="s">
        <v>115</v>
      </c>
      <c r="G19" s="65" t="s">
        <v>116</v>
      </c>
      <c r="H19" s="177" t="s">
        <v>32</v>
      </c>
      <c r="I19" s="77" t="s">
        <v>97</v>
      </c>
      <c r="J19" s="80">
        <v>44104</v>
      </c>
      <c r="K19" s="80" t="s">
        <v>39</v>
      </c>
      <c r="L19" s="80">
        <v>4972800</v>
      </c>
      <c r="M19" s="67" t="s">
        <v>20</v>
      </c>
    </row>
    <row r="20" spans="2:13" x14ac:dyDescent="0.3">
      <c r="B20" s="65">
        <v>44089</v>
      </c>
      <c r="C20" s="46" t="s">
        <v>602</v>
      </c>
      <c r="D20" s="66" t="s">
        <v>31</v>
      </c>
      <c r="E20" s="46" t="s">
        <v>432</v>
      </c>
      <c r="F20" s="69" t="s">
        <v>1276</v>
      </c>
      <c r="G20" s="71" t="s">
        <v>116</v>
      </c>
      <c r="H20" s="177" t="s">
        <v>287</v>
      </c>
      <c r="I20" s="76" t="s">
        <v>51</v>
      </c>
      <c r="J20" s="81" t="s">
        <v>1277</v>
      </c>
      <c r="K20" s="81" t="s">
        <v>33</v>
      </c>
      <c r="L20" s="327">
        <v>7391614</v>
      </c>
      <c r="M20" s="67" t="s">
        <v>19</v>
      </c>
    </row>
    <row r="21" spans="2:13" x14ac:dyDescent="0.3">
      <c r="B21" s="65">
        <v>44089</v>
      </c>
      <c r="C21" s="46" t="s">
        <v>1278</v>
      </c>
      <c r="D21" s="69" t="s">
        <v>31</v>
      </c>
      <c r="E21" s="46" t="s">
        <v>432</v>
      </c>
      <c r="F21" s="46" t="s">
        <v>1276</v>
      </c>
      <c r="G21" s="71" t="s">
        <v>116</v>
      </c>
      <c r="H21" s="178" t="s">
        <v>287</v>
      </c>
      <c r="I21" s="76" t="s">
        <v>51</v>
      </c>
      <c r="J21" s="81" t="s">
        <v>1277</v>
      </c>
      <c r="K21" s="81" t="s">
        <v>33</v>
      </c>
      <c r="L21" s="327">
        <v>7391614</v>
      </c>
      <c r="M21" s="67" t="s">
        <v>19</v>
      </c>
    </row>
    <row r="22" spans="2:13" x14ac:dyDescent="0.3">
      <c r="B22" s="65">
        <v>44089</v>
      </c>
      <c r="C22" s="46" t="s">
        <v>757</v>
      </c>
      <c r="D22" s="69" t="s">
        <v>31</v>
      </c>
      <c r="E22" s="46" t="s">
        <v>432</v>
      </c>
      <c r="F22" s="46" t="s">
        <v>1276</v>
      </c>
      <c r="G22" s="71" t="s">
        <v>116</v>
      </c>
      <c r="H22" s="178" t="s">
        <v>287</v>
      </c>
      <c r="I22" s="76" t="s">
        <v>51</v>
      </c>
      <c r="J22" s="80" t="s">
        <v>1277</v>
      </c>
      <c r="K22" s="80" t="s">
        <v>33</v>
      </c>
      <c r="L22" s="327">
        <v>7391614</v>
      </c>
      <c r="M22" s="67" t="s">
        <v>19</v>
      </c>
    </row>
    <row r="23" spans="2:13" x14ac:dyDescent="0.3">
      <c r="B23" s="65">
        <v>44097</v>
      </c>
      <c r="C23" s="46" t="s">
        <v>1310</v>
      </c>
      <c r="D23" s="66" t="s">
        <v>31</v>
      </c>
      <c r="E23" s="46" t="s">
        <v>432</v>
      </c>
      <c r="F23" s="66" t="s">
        <v>1276</v>
      </c>
      <c r="G23" s="65" t="s">
        <v>116</v>
      </c>
      <c r="H23" s="178" t="s">
        <v>1311</v>
      </c>
      <c r="I23" s="76" t="s">
        <v>51</v>
      </c>
      <c r="J23" s="80">
        <v>44099</v>
      </c>
      <c r="K23" s="80" t="s">
        <v>33</v>
      </c>
      <c r="L23" s="328">
        <v>8600000</v>
      </c>
      <c r="M23" s="67" t="s">
        <v>19</v>
      </c>
    </row>
    <row r="24" spans="2:13" x14ac:dyDescent="0.3">
      <c r="B24" s="65">
        <v>44097</v>
      </c>
      <c r="C24" s="46" t="s">
        <v>757</v>
      </c>
      <c r="D24" s="66" t="s">
        <v>31</v>
      </c>
      <c r="E24" s="46" t="s">
        <v>432</v>
      </c>
      <c r="F24" s="66" t="s">
        <v>1276</v>
      </c>
      <c r="G24" s="65" t="s">
        <v>116</v>
      </c>
      <c r="H24" s="178" t="s">
        <v>1311</v>
      </c>
      <c r="I24" s="76" t="s">
        <v>51</v>
      </c>
      <c r="J24" s="80">
        <v>44099</v>
      </c>
      <c r="K24" s="80" t="s">
        <v>33</v>
      </c>
      <c r="L24" s="328">
        <v>8600000</v>
      </c>
      <c r="M24" s="67" t="s">
        <v>19</v>
      </c>
    </row>
    <row r="25" spans="2:13" x14ac:dyDescent="0.3">
      <c r="B25" s="65">
        <v>44098</v>
      </c>
      <c r="C25" s="46" t="s">
        <v>1317</v>
      </c>
      <c r="D25" s="67" t="s">
        <v>31</v>
      </c>
      <c r="E25" s="46" t="s">
        <v>1142</v>
      </c>
      <c r="F25" s="46" t="s">
        <v>1318</v>
      </c>
      <c r="G25" s="71" t="s">
        <v>116</v>
      </c>
      <c r="H25" s="178" t="s">
        <v>32</v>
      </c>
      <c r="I25" s="77" t="s">
        <v>97</v>
      </c>
      <c r="J25" s="80">
        <v>44105</v>
      </c>
      <c r="K25" s="80" t="s">
        <v>39</v>
      </c>
      <c r="L25" s="327">
        <v>4933189</v>
      </c>
      <c r="M25" s="67" t="s">
        <v>20</v>
      </c>
    </row>
    <row r="26" spans="2:13" x14ac:dyDescent="0.3">
      <c r="B26" s="65">
        <v>44082</v>
      </c>
      <c r="C26" s="46" t="s">
        <v>1152</v>
      </c>
      <c r="D26" s="67" t="s">
        <v>31</v>
      </c>
      <c r="E26" s="46" t="s">
        <v>1142</v>
      </c>
      <c r="F26" s="46" t="s">
        <v>1002</v>
      </c>
      <c r="G26" s="71" t="s">
        <v>301</v>
      </c>
      <c r="H26" s="178" t="s">
        <v>32</v>
      </c>
      <c r="I26" s="77" t="s">
        <v>97</v>
      </c>
      <c r="J26" s="80">
        <v>44083</v>
      </c>
      <c r="K26" s="80" t="s">
        <v>39</v>
      </c>
      <c r="L26" s="327">
        <v>15214024</v>
      </c>
      <c r="M26" s="67" t="s">
        <v>19</v>
      </c>
    </row>
    <row r="27" spans="2:13" x14ac:dyDescent="0.3">
      <c r="B27" s="65">
        <v>44091</v>
      </c>
      <c r="C27" s="46" t="s">
        <v>1152</v>
      </c>
      <c r="D27" s="67" t="s">
        <v>31</v>
      </c>
      <c r="E27" s="46" t="s">
        <v>1142</v>
      </c>
      <c r="F27" s="46" t="s">
        <v>1002</v>
      </c>
      <c r="G27" s="71" t="s">
        <v>304</v>
      </c>
      <c r="H27" s="178" t="s">
        <v>38</v>
      </c>
      <c r="I27" s="77" t="s">
        <v>97</v>
      </c>
      <c r="J27" s="80">
        <v>44097</v>
      </c>
      <c r="K27" s="80" t="s">
        <v>39</v>
      </c>
      <c r="L27" s="327">
        <v>10781198</v>
      </c>
      <c r="M27" s="67" t="s">
        <v>19</v>
      </c>
    </row>
    <row r="28" spans="2:13" x14ac:dyDescent="0.3">
      <c r="B28" s="65">
        <v>44088</v>
      </c>
      <c r="C28" s="46" t="s">
        <v>1192</v>
      </c>
      <c r="D28" s="67" t="s">
        <v>31</v>
      </c>
      <c r="E28" s="46" t="s">
        <v>308</v>
      </c>
      <c r="F28" s="46" t="s">
        <v>309</v>
      </c>
      <c r="G28" s="71" t="s">
        <v>301</v>
      </c>
      <c r="H28" s="178" t="s">
        <v>32</v>
      </c>
      <c r="I28" s="77" t="s">
        <v>97</v>
      </c>
      <c r="J28" s="80">
        <v>44090</v>
      </c>
      <c r="K28" s="80" t="s">
        <v>33</v>
      </c>
      <c r="L28" s="327">
        <f>700*10350</f>
        <v>7245000</v>
      </c>
      <c r="M28" s="67" t="s">
        <v>20</v>
      </c>
    </row>
    <row r="29" spans="2:13" x14ac:dyDescent="0.3">
      <c r="B29" s="65">
        <v>44088</v>
      </c>
      <c r="C29" s="46" t="s">
        <v>334</v>
      </c>
      <c r="D29" s="67" t="s">
        <v>31</v>
      </c>
      <c r="E29" s="46" t="s">
        <v>308</v>
      </c>
      <c r="F29" s="46" t="s">
        <v>309</v>
      </c>
      <c r="G29" s="71" t="s">
        <v>301</v>
      </c>
      <c r="H29" s="178" t="s">
        <v>32</v>
      </c>
      <c r="I29" s="77" t="s">
        <v>97</v>
      </c>
      <c r="J29" s="80">
        <v>44090</v>
      </c>
      <c r="K29" s="80" t="s">
        <v>33</v>
      </c>
      <c r="L29" s="327">
        <f>700*10350</f>
        <v>7245000</v>
      </c>
      <c r="M29" s="67" t="s">
        <v>20</v>
      </c>
    </row>
    <row r="30" spans="2:13" x14ac:dyDescent="0.3">
      <c r="B30" s="65">
        <v>44093</v>
      </c>
      <c r="C30" s="46" t="s">
        <v>1209</v>
      </c>
      <c r="D30" s="67" t="s">
        <v>31</v>
      </c>
      <c r="E30" s="46" t="s">
        <v>308</v>
      </c>
      <c r="F30" s="46"/>
      <c r="G30" s="71" t="s">
        <v>304</v>
      </c>
      <c r="H30" s="178" t="s">
        <v>38</v>
      </c>
      <c r="I30" s="77" t="s">
        <v>97</v>
      </c>
      <c r="J30" s="80">
        <v>44094</v>
      </c>
      <c r="K30" s="80" t="s">
        <v>33</v>
      </c>
      <c r="L30" s="327">
        <v>6824985</v>
      </c>
      <c r="M30" s="67" t="s">
        <v>20</v>
      </c>
    </row>
    <row r="31" spans="2:13" x14ac:dyDescent="0.3">
      <c r="B31" s="65">
        <v>44093</v>
      </c>
      <c r="C31" s="46" t="s">
        <v>324</v>
      </c>
      <c r="D31" s="67" t="s">
        <v>31</v>
      </c>
      <c r="E31" s="46" t="s">
        <v>308</v>
      </c>
      <c r="F31" s="46"/>
      <c r="G31" s="71" t="s">
        <v>304</v>
      </c>
      <c r="H31" s="178" t="s">
        <v>38</v>
      </c>
      <c r="I31" s="77" t="s">
        <v>97</v>
      </c>
      <c r="J31" s="80">
        <v>44094</v>
      </c>
      <c r="K31" s="80" t="s">
        <v>33</v>
      </c>
      <c r="L31" s="327">
        <v>6824985</v>
      </c>
      <c r="M31" s="67" t="s">
        <v>20</v>
      </c>
    </row>
    <row r="32" spans="2:13" x14ac:dyDescent="0.3">
      <c r="B32" s="65">
        <v>44086</v>
      </c>
      <c r="C32" s="46" t="s">
        <v>1158</v>
      </c>
      <c r="D32" s="67" t="s">
        <v>31</v>
      </c>
      <c r="E32" s="46" t="s">
        <v>1142</v>
      </c>
      <c r="F32" s="46" t="s">
        <v>906</v>
      </c>
      <c r="G32" s="71" t="s">
        <v>301</v>
      </c>
      <c r="H32" s="178" t="s">
        <v>1159</v>
      </c>
      <c r="I32" s="77" t="s">
        <v>84</v>
      </c>
      <c r="J32" s="80" t="s">
        <v>1160</v>
      </c>
      <c r="K32" s="80" t="s">
        <v>1161</v>
      </c>
      <c r="L32" s="327">
        <v>5712815</v>
      </c>
      <c r="M32" s="67" t="s">
        <v>19</v>
      </c>
    </row>
    <row r="33" spans="2:13" x14ac:dyDescent="0.3">
      <c r="B33" s="65">
        <v>44089</v>
      </c>
      <c r="C33" s="46" t="s">
        <v>1195</v>
      </c>
      <c r="D33" s="67" t="s">
        <v>31</v>
      </c>
      <c r="E33" s="46" t="s">
        <v>1142</v>
      </c>
      <c r="F33" s="46" t="s">
        <v>1013</v>
      </c>
      <c r="G33" s="71" t="s">
        <v>304</v>
      </c>
      <c r="H33" s="178" t="s">
        <v>38</v>
      </c>
      <c r="I33" s="77" t="s">
        <v>97</v>
      </c>
      <c r="J33" s="80">
        <v>44098</v>
      </c>
      <c r="K33" s="80" t="s">
        <v>39</v>
      </c>
      <c r="L33" s="327">
        <v>6808053</v>
      </c>
      <c r="M33" s="67" t="s">
        <v>20</v>
      </c>
    </row>
    <row r="34" spans="2:13" x14ac:dyDescent="0.3">
      <c r="B34" s="65">
        <v>44089</v>
      </c>
      <c r="C34" s="46" t="s">
        <v>1196</v>
      </c>
      <c r="D34" s="67" t="s">
        <v>31</v>
      </c>
      <c r="E34" s="46" t="s">
        <v>1142</v>
      </c>
      <c r="F34" s="46" t="s">
        <v>1013</v>
      </c>
      <c r="G34" s="71" t="s">
        <v>304</v>
      </c>
      <c r="H34" s="178" t="s">
        <v>38</v>
      </c>
      <c r="I34" s="77" t="s">
        <v>97</v>
      </c>
      <c r="J34" s="80">
        <v>44098</v>
      </c>
      <c r="K34" s="80" t="s">
        <v>39</v>
      </c>
      <c r="L34" s="327">
        <v>6808053</v>
      </c>
      <c r="M34" s="67" t="s">
        <v>20</v>
      </c>
    </row>
    <row r="35" spans="2:13" x14ac:dyDescent="0.3">
      <c r="B35" s="65">
        <v>44089</v>
      </c>
      <c r="C35" s="46" t="s">
        <v>1197</v>
      </c>
      <c r="D35" s="67" t="s">
        <v>31</v>
      </c>
      <c r="E35" s="46" t="s">
        <v>1142</v>
      </c>
      <c r="F35" s="46" t="s">
        <v>1013</v>
      </c>
      <c r="G35" s="71" t="s">
        <v>304</v>
      </c>
      <c r="H35" s="178" t="s">
        <v>38</v>
      </c>
      <c r="I35" s="77" t="s">
        <v>97</v>
      </c>
      <c r="J35" s="80">
        <v>44098</v>
      </c>
      <c r="K35" s="80" t="s">
        <v>39</v>
      </c>
      <c r="L35" s="327">
        <v>6808053</v>
      </c>
      <c r="M35" s="67" t="s">
        <v>20</v>
      </c>
    </row>
    <row r="36" spans="2:13" x14ac:dyDescent="0.3">
      <c r="B36" s="65">
        <v>44091</v>
      </c>
      <c r="C36" s="46" t="s">
        <v>1200</v>
      </c>
      <c r="D36" s="67" t="s">
        <v>31</v>
      </c>
      <c r="E36" s="46" t="s">
        <v>1142</v>
      </c>
      <c r="F36" s="46" t="s">
        <v>906</v>
      </c>
      <c r="G36" s="71" t="s">
        <v>301</v>
      </c>
      <c r="H36" s="178" t="s">
        <v>35</v>
      </c>
      <c r="I36" s="77" t="s">
        <v>97</v>
      </c>
      <c r="J36" s="80" t="s">
        <v>1201</v>
      </c>
      <c r="K36" s="80" t="s">
        <v>39</v>
      </c>
      <c r="L36" s="327">
        <v>13842342</v>
      </c>
      <c r="M36" s="67" t="s">
        <v>19</v>
      </c>
    </row>
    <row r="37" spans="2:13" x14ac:dyDescent="0.3">
      <c r="B37" s="65">
        <v>44093</v>
      </c>
      <c r="C37" s="46" t="s">
        <v>1299</v>
      </c>
      <c r="D37" s="67" t="s">
        <v>31</v>
      </c>
      <c r="E37" s="46" t="s">
        <v>131</v>
      </c>
      <c r="F37" s="46" t="s">
        <v>132</v>
      </c>
      <c r="G37" s="71" t="s">
        <v>116</v>
      </c>
      <c r="H37" s="71" t="s">
        <v>38</v>
      </c>
      <c r="I37" s="77" t="s">
        <v>97</v>
      </c>
      <c r="J37" s="80">
        <v>44095</v>
      </c>
      <c r="K37" s="80" t="s">
        <v>33</v>
      </c>
      <c r="L37" s="327">
        <v>6963242</v>
      </c>
      <c r="M37" s="67" t="s">
        <v>20</v>
      </c>
    </row>
    <row r="38" spans="2:13" x14ac:dyDescent="0.3">
      <c r="B38" s="65">
        <v>44093</v>
      </c>
      <c r="C38" s="46" t="s">
        <v>1300</v>
      </c>
      <c r="D38" s="67" t="s">
        <v>31</v>
      </c>
      <c r="E38" s="46" t="s">
        <v>131</v>
      </c>
      <c r="F38" s="46" t="s">
        <v>132</v>
      </c>
      <c r="G38" s="71" t="s">
        <v>116</v>
      </c>
      <c r="H38" s="71" t="s">
        <v>38</v>
      </c>
      <c r="I38" s="77" t="s">
        <v>97</v>
      </c>
      <c r="J38" s="80">
        <v>44095</v>
      </c>
      <c r="K38" s="80" t="s">
        <v>33</v>
      </c>
      <c r="L38" s="327">
        <v>6963242</v>
      </c>
      <c r="M38" s="67" t="s">
        <v>20</v>
      </c>
    </row>
    <row r="39" spans="2:13" x14ac:dyDescent="0.3">
      <c r="B39" s="65">
        <v>44088</v>
      </c>
      <c r="C39" s="46" t="s">
        <v>1162</v>
      </c>
      <c r="D39" s="67" t="s">
        <v>31</v>
      </c>
      <c r="E39" s="46" t="s">
        <v>436</v>
      </c>
      <c r="F39" s="46" t="s">
        <v>906</v>
      </c>
      <c r="G39" s="71" t="s">
        <v>301</v>
      </c>
      <c r="H39" s="178" t="s">
        <v>32</v>
      </c>
      <c r="I39" s="77" t="s">
        <v>97</v>
      </c>
      <c r="J39" s="80">
        <v>44090</v>
      </c>
      <c r="K39" s="80" t="s">
        <v>33</v>
      </c>
      <c r="L39" s="327">
        <v>6240000</v>
      </c>
      <c r="M39" s="67" t="s">
        <v>20</v>
      </c>
    </row>
    <row r="40" spans="2:13" x14ac:dyDescent="0.3">
      <c r="B40" s="65">
        <v>44088</v>
      </c>
      <c r="C40" s="46" t="s">
        <v>1163</v>
      </c>
      <c r="D40" s="67" t="s">
        <v>31</v>
      </c>
      <c r="E40" s="46" t="s">
        <v>436</v>
      </c>
      <c r="F40" s="46" t="s">
        <v>906</v>
      </c>
      <c r="G40" s="71" t="s">
        <v>301</v>
      </c>
      <c r="H40" s="178" t="s">
        <v>32</v>
      </c>
      <c r="I40" s="77" t="s">
        <v>97</v>
      </c>
      <c r="J40" s="80">
        <v>44090</v>
      </c>
      <c r="K40" s="80" t="s">
        <v>33</v>
      </c>
      <c r="L40" s="327">
        <v>6240000</v>
      </c>
      <c r="M40" s="67" t="s">
        <v>20</v>
      </c>
    </row>
    <row r="41" spans="2:13" x14ac:dyDescent="0.3">
      <c r="B41" s="65">
        <v>44088</v>
      </c>
      <c r="C41" s="46" t="s">
        <v>1164</v>
      </c>
      <c r="D41" s="67" t="s">
        <v>31</v>
      </c>
      <c r="E41" s="46" t="s">
        <v>436</v>
      </c>
      <c r="F41" s="46" t="s">
        <v>906</v>
      </c>
      <c r="G41" s="71" t="s">
        <v>301</v>
      </c>
      <c r="H41" s="178" t="s">
        <v>32</v>
      </c>
      <c r="I41" s="77" t="s">
        <v>97</v>
      </c>
      <c r="J41" s="80">
        <v>44090</v>
      </c>
      <c r="K41" s="80" t="s">
        <v>33</v>
      </c>
      <c r="L41" s="327">
        <v>6240000</v>
      </c>
      <c r="M41" s="67" t="s">
        <v>20</v>
      </c>
    </row>
    <row r="42" spans="2:13" x14ac:dyDescent="0.3">
      <c r="B42" s="65">
        <v>44088</v>
      </c>
      <c r="C42" s="46" t="s">
        <v>1165</v>
      </c>
      <c r="D42" s="67" t="s">
        <v>31</v>
      </c>
      <c r="E42" s="46" t="s">
        <v>436</v>
      </c>
      <c r="F42" s="46" t="s">
        <v>906</v>
      </c>
      <c r="G42" s="71" t="s">
        <v>301</v>
      </c>
      <c r="H42" s="178" t="s">
        <v>32</v>
      </c>
      <c r="I42" s="77" t="s">
        <v>97</v>
      </c>
      <c r="J42" s="80">
        <v>44090</v>
      </c>
      <c r="K42" s="80" t="s">
        <v>33</v>
      </c>
      <c r="L42" s="327">
        <v>6240000</v>
      </c>
      <c r="M42" s="67" t="s">
        <v>20</v>
      </c>
    </row>
    <row r="43" spans="2:13" x14ac:dyDescent="0.3">
      <c r="B43" s="65">
        <v>44088</v>
      </c>
      <c r="C43" s="46" t="s">
        <v>1166</v>
      </c>
      <c r="D43" s="67" t="s">
        <v>31</v>
      </c>
      <c r="E43" s="46" t="s">
        <v>436</v>
      </c>
      <c r="F43" s="46" t="s">
        <v>906</v>
      </c>
      <c r="G43" s="71" t="s">
        <v>301</v>
      </c>
      <c r="H43" s="178" t="s">
        <v>32</v>
      </c>
      <c r="I43" s="77" t="s">
        <v>97</v>
      </c>
      <c r="J43" s="80">
        <v>44090</v>
      </c>
      <c r="K43" s="80" t="s">
        <v>33</v>
      </c>
      <c r="L43" s="327">
        <v>6240000</v>
      </c>
      <c r="M43" s="67" t="s">
        <v>20</v>
      </c>
    </row>
    <row r="44" spans="2:13" x14ac:dyDescent="0.3">
      <c r="B44" s="65">
        <v>44088</v>
      </c>
      <c r="C44" s="46" t="s">
        <v>1167</v>
      </c>
      <c r="D44" s="67" t="s">
        <v>31</v>
      </c>
      <c r="E44" s="46" t="s">
        <v>436</v>
      </c>
      <c r="F44" s="46" t="s">
        <v>906</v>
      </c>
      <c r="G44" s="71" t="s">
        <v>301</v>
      </c>
      <c r="H44" s="178" t="s">
        <v>32</v>
      </c>
      <c r="I44" s="77" t="s">
        <v>97</v>
      </c>
      <c r="J44" s="80">
        <v>44090</v>
      </c>
      <c r="K44" s="80" t="s">
        <v>33</v>
      </c>
      <c r="L44" s="327">
        <v>6240000</v>
      </c>
      <c r="M44" s="67" t="s">
        <v>20</v>
      </c>
    </row>
    <row r="45" spans="2:13" x14ac:dyDescent="0.3">
      <c r="B45" s="65">
        <v>44088</v>
      </c>
      <c r="C45" s="46" t="s">
        <v>1168</v>
      </c>
      <c r="D45" s="67" t="s">
        <v>31</v>
      </c>
      <c r="E45" s="46" t="s">
        <v>436</v>
      </c>
      <c r="F45" s="46" t="s">
        <v>906</v>
      </c>
      <c r="G45" s="71" t="s">
        <v>301</v>
      </c>
      <c r="H45" s="178" t="s">
        <v>32</v>
      </c>
      <c r="I45" s="77" t="s">
        <v>97</v>
      </c>
      <c r="J45" s="80">
        <v>44090</v>
      </c>
      <c r="K45" s="80" t="s">
        <v>33</v>
      </c>
      <c r="L45" s="327">
        <v>6240000</v>
      </c>
      <c r="M45" s="67" t="s">
        <v>20</v>
      </c>
    </row>
    <row r="46" spans="2:13" x14ac:dyDescent="0.3">
      <c r="B46" s="65">
        <v>44088</v>
      </c>
      <c r="C46" s="46" t="s">
        <v>1169</v>
      </c>
      <c r="D46" s="67" t="s">
        <v>31</v>
      </c>
      <c r="E46" s="46" t="s">
        <v>436</v>
      </c>
      <c r="F46" s="46" t="s">
        <v>906</v>
      </c>
      <c r="G46" s="71" t="s">
        <v>301</v>
      </c>
      <c r="H46" s="178" t="s">
        <v>32</v>
      </c>
      <c r="I46" s="77" t="s">
        <v>97</v>
      </c>
      <c r="J46" s="80">
        <v>44090</v>
      </c>
      <c r="K46" s="80" t="s">
        <v>33</v>
      </c>
      <c r="L46" s="327">
        <v>6240000</v>
      </c>
      <c r="M46" s="67" t="s">
        <v>20</v>
      </c>
    </row>
    <row r="47" spans="2:13" x14ac:dyDescent="0.3">
      <c r="B47" s="65">
        <v>44088</v>
      </c>
      <c r="C47" s="46" t="s">
        <v>1170</v>
      </c>
      <c r="D47" s="67" t="s">
        <v>31</v>
      </c>
      <c r="E47" s="46" t="s">
        <v>436</v>
      </c>
      <c r="F47" s="46" t="s">
        <v>906</v>
      </c>
      <c r="G47" s="71" t="s">
        <v>301</v>
      </c>
      <c r="H47" s="178" t="s">
        <v>32</v>
      </c>
      <c r="I47" s="77" t="s">
        <v>97</v>
      </c>
      <c r="J47" s="80">
        <v>44090</v>
      </c>
      <c r="K47" s="80" t="s">
        <v>33</v>
      </c>
      <c r="L47" s="327">
        <v>6240000</v>
      </c>
      <c r="M47" s="67" t="s">
        <v>20</v>
      </c>
    </row>
    <row r="48" spans="2:13" x14ac:dyDescent="0.3">
      <c r="B48" s="65">
        <v>44088</v>
      </c>
      <c r="C48" s="46" t="s">
        <v>1171</v>
      </c>
      <c r="D48" s="67" t="s">
        <v>31</v>
      </c>
      <c r="E48" s="46" t="s">
        <v>436</v>
      </c>
      <c r="F48" s="46" t="s">
        <v>906</v>
      </c>
      <c r="G48" s="71" t="s">
        <v>301</v>
      </c>
      <c r="H48" s="178" t="s">
        <v>32</v>
      </c>
      <c r="I48" s="77" t="s">
        <v>97</v>
      </c>
      <c r="J48" s="80">
        <v>44090</v>
      </c>
      <c r="K48" s="80" t="s">
        <v>33</v>
      </c>
      <c r="L48" s="327">
        <v>6240000</v>
      </c>
      <c r="M48" s="67" t="s">
        <v>20</v>
      </c>
    </row>
    <row r="49" spans="2:13" x14ac:dyDescent="0.3">
      <c r="B49" s="65">
        <v>44088</v>
      </c>
      <c r="C49" s="46" t="s">
        <v>1172</v>
      </c>
      <c r="D49" s="67" t="s">
        <v>31</v>
      </c>
      <c r="E49" s="46" t="s">
        <v>436</v>
      </c>
      <c r="F49" s="46" t="s">
        <v>906</v>
      </c>
      <c r="G49" s="71" t="s">
        <v>301</v>
      </c>
      <c r="H49" s="178" t="s">
        <v>32</v>
      </c>
      <c r="I49" s="77" t="s">
        <v>97</v>
      </c>
      <c r="J49" s="80">
        <v>44090</v>
      </c>
      <c r="K49" s="80" t="s">
        <v>33</v>
      </c>
      <c r="L49" s="327">
        <v>6240000</v>
      </c>
      <c r="M49" s="67" t="s">
        <v>20</v>
      </c>
    </row>
    <row r="50" spans="2:13" x14ac:dyDescent="0.3">
      <c r="B50" s="65">
        <v>44088</v>
      </c>
      <c r="C50" s="46" t="s">
        <v>1173</v>
      </c>
      <c r="D50" s="67" t="s">
        <v>31</v>
      </c>
      <c r="E50" s="46" t="s">
        <v>436</v>
      </c>
      <c r="F50" s="46" t="s">
        <v>906</v>
      </c>
      <c r="G50" s="71" t="s">
        <v>301</v>
      </c>
      <c r="H50" s="178" t="s">
        <v>32</v>
      </c>
      <c r="I50" s="77" t="s">
        <v>97</v>
      </c>
      <c r="J50" s="80">
        <v>44090</v>
      </c>
      <c r="K50" s="80" t="s">
        <v>33</v>
      </c>
      <c r="L50" s="327">
        <v>6240000</v>
      </c>
      <c r="M50" s="67" t="s">
        <v>20</v>
      </c>
    </row>
    <row r="51" spans="2:13" x14ac:dyDescent="0.3">
      <c r="B51" s="65">
        <v>44088</v>
      </c>
      <c r="C51" s="46" t="s">
        <v>1174</v>
      </c>
      <c r="D51" s="67" t="s">
        <v>31</v>
      </c>
      <c r="E51" s="46" t="s">
        <v>436</v>
      </c>
      <c r="F51" s="46" t="s">
        <v>906</v>
      </c>
      <c r="G51" s="71" t="s">
        <v>301</v>
      </c>
      <c r="H51" s="178" t="s">
        <v>32</v>
      </c>
      <c r="I51" s="77" t="s">
        <v>97</v>
      </c>
      <c r="J51" s="80">
        <v>44090</v>
      </c>
      <c r="K51" s="80" t="s">
        <v>33</v>
      </c>
      <c r="L51" s="327">
        <v>6240000</v>
      </c>
      <c r="M51" s="67" t="s">
        <v>20</v>
      </c>
    </row>
    <row r="52" spans="2:13" x14ac:dyDescent="0.3">
      <c r="B52" s="65">
        <v>44088</v>
      </c>
      <c r="C52" s="46" t="s">
        <v>1175</v>
      </c>
      <c r="D52" s="67" t="s">
        <v>31</v>
      </c>
      <c r="E52" s="46" t="s">
        <v>436</v>
      </c>
      <c r="F52" s="46" t="s">
        <v>906</v>
      </c>
      <c r="G52" s="71" t="s">
        <v>301</v>
      </c>
      <c r="H52" s="178" t="s">
        <v>32</v>
      </c>
      <c r="I52" s="77" t="s">
        <v>97</v>
      </c>
      <c r="J52" s="80">
        <v>44090</v>
      </c>
      <c r="K52" s="80" t="s">
        <v>33</v>
      </c>
      <c r="L52" s="327">
        <v>6240000</v>
      </c>
      <c r="M52" s="67" t="s">
        <v>20</v>
      </c>
    </row>
    <row r="53" spans="2:13" x14ac:dyDescent="0.3">
      <c r="B53" s="65">
        <v>44088</v>
      </c>
      <c r="C53" s="46" t="s">
        <v>1176</v>
      </c>
      <c r="D53" s="67" t="s">
        <v>31</v>
      </c>
      <c r="E53" s="46" t="s">
        <v>436</v>
      </c>
      <c r="F53" s="46" t="s">
        <v>906</v>
      </c>
      <c r="G53" s="71" t="s">
        <v>301</v>
      </c>
      <c r="H53" s="178" t="s">
        <v>32</v>
      </c>
      <c r="I53" s="77" t="s">
        <v>97</v>
      </c>
      <c r="J53" s="80">
        <v>44090</v>
      </c>
      <c r="K53" s="80" t="s">
        <v>33</v>
      </c>
      <c r="L53" s="327">
        <v>6240000</v>
      </c>
      <c r="M53" s="67" t="s">
        <v>20</v>
      </c>
    </row>
    <row r="54" spans="2:13" x14ac:dyDescent="0.3">
      <c r="B54" s="65">
        <v>44088</v>
      </c>
      <c r="C54" s="46" t="s">
        <v>1177</v>
      </c>
      <c r="D54" s="67" t="s">
        <v>31</v>
      </c>
      <c r="E54" s="46" t="s">
        <v>436</v>
      </c>
      <c r="F54" s="46" t="s">
        <v>906</v>
      </c>
      <c r="G54" s="71" t="s">
        <v>301</v>
      </c>
      <c r="H54" s="178" t="s">
        <v>32</v>
      </c>
      <c r="I54" s="77" t="s">
        <v>97</v>
      </c>
      <c r="J54" s="80">
        <v>44090</v>
      </c>
      <c r="K54" s="80" t="s">
        <v>33</v>
      </c>
      <c r="L54" s="327">
        <v>6240000</v>
      </c>
      <c r="M54" s="67" t="s">
        <v>20</v>
      </c>
    </row>
    <row r="55" spans="2:13" x14ac:dyDescent="0.3">
      <c r="B55" s="65">
        <v>44088</v>
      </c>
      <c r="C55" s="46" t="s">
        <v>1178</v>
      </c>
      <c r="D55" s="67" t="s">
        <v>31</v>
      </c>
      <c r="E55" s="46" t="s">
        <v>436</v>
      </c>
      <c r="F55" s="46" t="s">
        <v>906</v>
      </c>
      <c r="G55" s="71" t="s">
        <v>301</v>
      </c>
      <c r="H55" s="178" t="s">
        <v>32</v>
      </c>
      <c r="I55" s="77" t="s">
        <v>97</v>
      </c>
      <c r="J55" s="80">
        <v>44090</v>
      </c>
      <c r="K55" s="80" t="s">
        <v>33</v>
      </c>
      <c r="L55" s="327">
        <v>6240000</v>
      </c>
      <c r="M55" s="67" t="s">
        <v>20</v>
      </c>
    </row>
    <row r="56" spans="2:13" x14ac:dyDescent="0.3">
      <c r="B56" s="65">
        <v>44088</v>
      </c>
      <c r="C56" s="46" t="s">
        <v>1179</v>
      </c>
      <c r="D56" s="67" t="s">
        <v>31</v>
      </c>
      <c r="E56" s="46" t="s">
        <v>436</v>
      </c>
      <c r="F56" s="46" t="s">
        <v>906</v>
      </c>
      <c r="G56" s="71" t="s">
        <v>301</v>
      </c>
      <c r="H56" s="178" t="s">
        <v>32</v>
      </c>
      <c r="I56" s="77" t="s">
        <v>97</v>
      </c>
      <c r="J56" s="80">
        <v>44090</v>
      </c>
      <c r="K56" s="80" t="s">
        <v>33</v>
      </c>
      <c r="L56" s="327">
        <v>6240000</v>
      </c>
      <c r="M56" s="67" t="s">
        <v>20</v>
      </c>
    </row>
    <row r="57" spans="2:13" x14ac:dyDescent="0.3">
      <c r="B57" s="65">
        <v>44088</v>
      </c>
      <c r="C57" s="46" t="s">
        <v>1180</v>
      </c>
      <c r="D57" s="67" t="s">
        <v>31</v>
      </c>
      <c r="E57" s="46" t="s">
        <v>436</v>
      </c>
      <c r="F57" s="46" t="s">
        <v>906</v>
      </c>
      <c r="G57" s="71" t="s">
        <v>301</v>
      </c>
      <c r="H57" s="178" t="s">
        <v>32</v>
      </c>
      <c r="I57" s="77" t="s">
        <v>97</v>
      </c>
      <c r="J57" s="80">
        <v>44090</v>
      </c>
      <c r="K57" s="80" t="s">
        <v>33</v>
      </c>
      <c r="L57" s="327">
        <v>6240000</v>
      </c>
      <c r="M57" s="67" t="s">
        <v>20</v>
      </c>
    </row>
    <row r="58" spans="2:13" x14ac:dyDescent="0.3">
      <c r="B58" s="65">
        <v>44088</v>
      </c>
      <c r="C58" s="46" t="s">
        <v>1181</v>
      </c>
      <c r="D58" s="67" t="s">
        <v>31</v>
      </c>
      <c r="E58" s="46" t="s">
        <v>436</v>
      </c>
      <c r="F58" s="46" t="s">
        <v>906</v>
      </c>
      <c r="G58" s="71" t="s">
        <v>301</v>
      </c>
      <c r="H58" s="178" t="s">
        <v>32</v>
      </c>
      <c r="I58" s="77" t="s">
        <v>97</v>
      </c>
      <c r="J58" s="80">
        <v>44090</v>
      </c>
      <c r="K58" s="80" t="s">
        <v>33</v>
      </c>
      <c r="L58" s="327">
        <v>6240000</v>
      </c>
      <c r="M58" s="67" t="s">
        <v>20</v>
      </c>
    </row>
    <row r="59" spans="2:13" x14ac:dyDescent="0.3">
      <c r="B59" s="65">
        <v>44088</v>
      </c>
      <c r="C59" s="46" t="s">
        <v>1182</v>
      </c>
      <c r="D59" s="67" t="s">
        <v>31</v>
      </c>
      <c r="E59" s="46" t="s">
        <v>436</v>
      </c>
      <c r="F59" s="46" t="s">
        <v>906</v>
      </c>
      <c r="G59" s="71" t="s">
        <v>301</v>
      </c>
      <c r="H59" s="178" t="s">
        <v>32</v>
      </c>
      <c r="I59" s="77" t="s">
        <v>97</v>
      </c>
      <c r="J59" s="80">
        <v>44090</v>
      </c>
      <c r="K59" s="80" t="s">
        <v>33</v>
      </c>
      <c r="L59" s="327">
        <v>6240000</v>
      </c>
      <c r="M59" s="67" t="s">
        <v>20</v>
      </c>
    </row>
    <row r="60" spans="2:13" x14ac:dyDescent="0.3">
      <c r="B60" s="65">
        <v>44088</v>
      </c>
      <c r="C60" s="46" t="s">
        <v>1183</v>
      </c>
      <c r="D60" s="67" t="s">
        <v>31</v>
      </c>
      <c r="E60" s="46" t="s">
        <v>436</v>
      </c>
      <c r="F60" s="46" t="s">
        <v>906</v>
      </c>
      <c r="G60" s="71" t="s">
        <v>301</v>
      </c>
      <c r="H60" s="178" t="s">
        <v>32</v>
      </c>
      <c r="I60" s="77" t="s">
        <v>97</v>
      </c>
      <c r="J60" s="80">
        <v>44090</v>
      </c>
      <c r="K60" s="80" t="s">
        <v>33</v>
      </c>
      <c r="L60" s="327">
        <v>6240000</v>
      </c>
      <c r="M60" s="67" t="s">
        <v>20</v>
      </c>
    </row>
    <row r="61" spans="2:13" x14ac:dyDescent="0.3">
      <c r="B61" s="65">
        <v>44088</v>
      </c>
      <c r="C61" s="46" t="s">
        <v>1184</v>
      </c>
      <c r="D61" s="67" t="s">
        <v>31</v>
      </c>
      <c r="E61" s="46" t="s">
        <v>436</v>
      </c>
      <c r="F61" s="46" t="s">
        <v>906</v>
      </c>
      <c r="G61" s="71" t="s">
        <v>301</v>
      </c>
      <c r="H61" s="178" t="s">
        <v>32</v>
      </c>
      <c r="I61" s="77" t="s">
        <v>97</v>
      </c>
      <c r="J61" s="80">
        <v>44090</v>
      </c>
      <c r="K61" s="80" t="s">
        <v>33</v>
      </c>
      <c r="L61" s="327">
        <v>6240000</v>
      </c>
      <c r="M61" s="67" t="s">
        <v>20</v>
      </c>
    </row>
    <row r="62" spans="2:13" x14ac:dyDescent="0.3">
      <c r="B62" s="65">
        <v>44088</v>
      </c>
      <c r="C62" s="46" t="s">
        <v>1185</v>
      </c>
      <c r="D62" s="67" t="s">
        <v>31</v>
      </c>
      <c r="E62" s="46" t="s">
        <v>436</v>
      </c>
      <c r="F62" s="46" t="s">
        <v>906</v>
      </c>
      <c r="G62" s="71" t="s">
        <v>301</v>
      </c>
      <c r="H62" s="178" t="s">
        <v>32</v>
      </c>
      <c r="I62" s="77" t="s">
        <v>97</v>
      </c>
      <c r="J62" s="80">
        <v>44090</v>
      </c>
      <c r="K62" s="80" t="s">
        <v>33</v>
      </c>
      <c r="L62" s="327">
        <v>6240000</v>
      </c>
      <c r="M62" s="67" t="s">
        <v>20</v>
      </c>
    </row>
    <row r="63" spans="2:13" x14ac:dyDescent="0.3">
      <c r="B63" s="65">
        <v>44088</v>
      </c>
      <c r="C63" s="46" t="s">
        <v>1186</v>
      </c>
      <c r="D63" s="67" t="s">
        <v>31</v>
      </c>
      <c r="E63" s="46" t="s">
        <v>436</v>
      </c>
      <c r="F63" s="46" t="s">
        <v>906</v>
      </c>
      <c r="G63" s="71" t="s">
        <v>301</v>
      </c>
      <c r="H63" s="178" t="s">
        <v>32</v>
      </c>
      <c r="I63" s="77" t="s">
        <v>97</v>
      </c>
      <c r="J63" s="80">
        <v>44090</v>
      </c>
      <c r="K63" s="80" t="s">
        <v>33</v>
      </c>
      <c r="L63" s="327">
        <v>6240000</v>
      </c>
      <c r="M63" s="67" t="s">
        <v>20</v>
      </c>
    </row>
    <row r="64" spans="2:13" x14ac:dyDescent="0.3">
      <c r="B64" s="65">
        <v>44088</v>
      </c>
      <c r="C64" s="46" t="s">
        <v>1187</v>
      </c>
      <c r="D64" s="67" t="s">
        <v>31</v>
      </c>
      <c r="E64" s="46" t="s">
        <v>436</v>
      </c>
      <c r="F64" s="46" t="s">
        <v>906</v>
      </c>
      <c r="G64" s="71" t="s">
        <v>301</v>
      </c>
      <c r="H64" s="178" t="s">
        <v>32</v>
      </c>
      <c r="I64" s="77" t="s">
        <v>97</v>
      </c>
      <c r="J64" s="80">
        <v>44090</v>
      </c>
      <c r="K64" s="80" t="s">
        <v>33</v>
      </c>
      <c r="L64" s="327">
        <v>6240000</v>
      </c>
      <c r="M64" s="67" t="s">
        <v>20</v>
      </c>
    </row>
    <row r="65" spans="2:13" x14ac:dyDescent="0.3">
      <c r="B65" s="65">
        <v>44088</v>
      </c>
      <c r="C65" s="46" t="s">
        <v>1188</v>
      </c>
      <c r="D65" s="67" t="s">
        <v>31</v>
      </c>
      <c r="E65" s="46" t="s">
        <v>436</v>
      </c>
      <c r="F65" s="46" t="s">
        <v>906</v>
      </c>
      <c r="G65" s="71" t="s">
        <v>301</v>
      </c>
      <c r="H65" s="178" t="s">
        <v>32</v>
      </c>
      <c r="I65" s="77" t="s">
        <v>97</v>
      </c>
      <c r="J65" s="80">
        <v>44090</v>
      </c>
      <c r="K65" s="80" t="s">
        <v>33</v>
      </c>
      <c r="L65" s="327">
        <v>6240000</v>
      </c>
      <c r="M65" s="67" t="s">
        <v>20</v>
      </c>
    </row>
    <row r="66" spans="2:13" x14ac:dyDescent="0.3">
      <c r="B66" s="65">
        <v>44088</v>
      </c>
      <c r="C66" s="46" t="s">
        <v>1191</v>
      </c>
      <c r="D66" s="67" t="s">
        <v>31</v>
      </c>
      <c r="E66" s="46" t="s">
        <v>436</v>
      </c>
      <c r="F66" s="46" t="s">
        <v>906</v>
      </c>
      <c r="G66" s="71" t="s">
        <v>301</v>
      </c>
      <c r="H66" s="178" t="s">
        <v>32</v>
      </c>
      <c r="I66" s="77" t="s">
        <v>97</v>
      </c>
      <c r="J66" s="80">
        <v>44090</v>
      </c>
      <c r="K66" s="80" t="s">
        <v>33</v>
      </c>
      <c r="L66" s="327">
        <f>700*10350</f>
        <v>7245000</v>
      </c>
      <c r="M66" s="67" t="s">
        <v>20</v>
      </c>
    </row>
    <row r="67" spans="2:13" x14ac:dyDescent="0.3">
      <c r="B67" s="65">
        <v>44088</v>
      </c>
      <c r="C67" s="46" t="s">
        <v>1193</v>
      </c>
      <c r="D67" s="67" t="s">
        <v>31</v>
      </c>
      <c r="E67" s="46" t="s">
        <v>436</v>
      </c>
      <c r="F67" s="46" t="s">
        <v>906</v>
      </c>
      <c r="G67" s="71" t="s">
        <v>304</v>
      </c>
      <c r="H67" s="178" t="s">
        <v>38</v>
      </c>
      <c r="I67" s="77" t="s">
        <v>97</v>
      </c>
      <c r="J67" s="80">
        <v>44090</v>
      </c>
      <c r="K67" s="80" t="s">
        <v>33</v>
      </c>
      <c r="L67" s="327">
        <v>6240000</v>
      </c>
      <c r="M67" s="67" t="s">
        <v>20</v>
      </c>
    </row>
    <row r="68" spans="2:13" x14ac:dyDescent="0.3">
      <c r="B68" s="65">
        <v>44093</v>
      </c>
      <c r="C68" s="46" t="s">
        <v>1208</v>
      </c>
      <c r="D68" s="67" t="s">
        <v>31</v>
      </c>
      <c r="E68" s="46" t="s">
        <v>436</v>
      </c>
      <c r="F68" s="46" t="s">
        <v>906</v>
      </c>
      <c r="G68" s="71" t="s">
        <v>304</v>
      </c>
      <c r="H68" s="178" t="s">
        <v>38</v>
      </c>
      <c r="I68" s="77" t="s">
        <v>97</v>
      </c>
      <c r="J68" s="80">
        <v>44094</v>
      </c>
      <c r="K68" s="80" t="s">
        <v>39</v>
      </c>
      <c r="L68" s="327">
        <v>6824985</v>
      </c>
      <c r="M68" s="67" t="s">
        <v>20</v>
      </c>
    </row>
    <row r="69" spans="2:13" x14ac:dyDescent="0.3">
      <c r="B69" s="65">
        <v>44095</v>
      </c>
      <c r="C69" s="46" t="s">
        <v>1210</v>
      </c>
      <c r="D69" s="67" t="s">
        <v>31</v>
      </c>
      <c r="E69" s="46" t="s">
        <v>436</v>
      </c>
      <c r="F69" s="46" t="s">
        <v>906</v>
      </c>
      <c r="G69" s="71" t="s">
        <v>301</v>
      </c>
      <c r="H69" s="178" t="s">
        <v>1211</v>
      </c>
      <c r="I69" s="77" t="s">
        <v>97</v>
      </c>
      <c r="J69" s="80">
        <v>44099</v>
      </c>
      <c r="K69" s="80" t="s">
        <v>33</v>
      </c>
      <c r="L69" s="327">
        <f>550*10350</f>
        <v>5692500</v>
      </c>
      <c r="M69" s="67" t="s">
        <v>19</v>
      </c>
    </row>
    <row r="70" spans="2:13" x14ac:dyDescent="0.3">
      <c r="B70" s="65">
        <v>44095</v>
      </c>
      <c r="C70" s="46" t="s">
        <v>1212</v>
      </c>
      <c r="D70" s="67" t="s">
        <v>31</v>
      </c>
      <c r="E70" s="46" t="s">
        <v>436</v>
      </c>
      <c r="F70" s="46" t="s">
        <v>906</v>
      </c>
      <c r="G70" s="71" t="s">
        <v>301</v>
      </c>
      <c r="H70" s="178" t="s">
        <v>1211</v>
      </c>
      <c r="I70" s="77" t="s">
        <v>97</v>
      </c>
      <c r="J70" s="80">
        <v>44099</v>
      </c>
      <c r="K70" s="80" t="s">
        <v>33</v>
      </c>
      <c r="L70" s="327">
        <f>550*10350</f>
        <v>5692500</v>
      </c>
      <c r="M70" s="67" t="s">
        <v>19</v>
      </c>
    </row>
    <row r="71" spans="2:13" x14ac:dyDescent="0.3">
      <c r="B71" s="65">
        <v>44076</v>
      </c>
      <c r="C71" s="46" t="s">
        <v>1007</v>
      </c>
      <c r="D71" s="67" t="s">
        <v>31</v>
      </c>
      <c r="E71" s="46" t="s">
        <v>436</v>
      </c>
      <c r="F71" s="46" t="s">
        <v>906</v>
      </c>
      <c r="G71" s="71" t="s">
        <v>304</v>
      </c>
      <c r="H71" s="178" t="s">
        <v>38</v>
      </c>
      <c r="I71" s="77" t="s">
        <v>97</v>
      </c>
      <c r="J71" s="80">
        <v>44076</v>
      </c>
      <c r="K71" s="80" t="s">
        <v>33</v>
      </c>
      <c r="L71" s="327">
        <f>600*10350</f>
        <v>6210000</v>
      </c>
      <c r="M71" s="67" t="s">
        <v>20</v>
      </c>
    </row>
    <row r="72" spans="2:13" x14ac:dyDescent="0.3">
      <c r="B72" s="65">
        <v>44084</v>
      </c>
      <c r="C72" s="46" t="s">
        <v>1153</v>
      </c>
      <c r="D72" s="67" t="s">
        <v>31</v>
      </c>
      <c r="E72" s="46" t="s">
        <v>436</v>
      </c>
      <c r="F72" s="46" t="s">
        <v>1154</v>
      </c>
      <c r="G72" s="71" t="s">
        <v>301</v>
      </c>
      <c r="H72" s="178" t="s">
        <v>32</v>
      </c>
      <c r="I72" s="77" t="s">
        <v>97</v>
      </c>
      <c r="J72" s="80">
        <v>44084</v>
      </c>
      <c r="K72" s="80" t="s">
        <v>33</v>
      </c>
      <c r="L72" s="327">
        <f>600*10350</f>
        <v>6210000</v>
      </c>
      <c r="M72" s="67" t="s">
        <v>20</v>
      </c>
    </row>
    <row r="73" spans="2:13" x14ac:dyDescent="0.3">
      <c r="B73" s="65">
        <v>44084</v>
      </c>
      <c r="C73" s="46" t="s">
        <v>1155</v>
      </c>
      <c r="D73" s="67" t="s">
        <v>31</v>
      </c>
      <c r="E73" s="46" t="s">
        <v>436</v>
      </c>
      <c r="F73" s="46" t="s">
        <v>1154</v>
      </c>
      <c r="G73" s="71" t="s">
        <v>301</v>
      </c>
      <c r="H73" s="178" t="s">
        <v>32</v>
      </c>
      <c r="I73" s="77" t="s">
        <v>97</v>
      </c>
      <c r="J73" s="80">
        <v>44084</v>
      </c>
      <c r="K73" s="80" t="s">
        <v>33</v>
      </c>
      <c r="L73" s="327">
        <f>600*10350</f>
        <v>6210000</v>
      </c>
      <c r="M73" s="67" t="s">
        <v>20</v>
      </c>
    </row>
    <row r="74" spans="2:13" x14ac:dyDescent="0.3">
      <c r="B74" s="65">
        <v>44085</v>
      </c>
      <c r="C74" s="46" t="s">
        <v>1156</v>
      </c>
      <c r="D74" s="67" t="s">
        <v>31</v>
      </c>
      <c r="E74" s="46" t="s">
        <v>436</v>
      </c>
      <c r="F74" s="46" t="s">
        <v>1154</v>
      </c>
      <c r="G74" s="71" t="s">
        <v>301</v>
      </c>
      <c r="H74" s="178" t="s">
        <v>38</v>
      </c>
      <c r="I74" s="77" t="s">
        <v>97</v>
      </c>
      <c r="J74" s="80">
        <v>44088</v>
      </c>
      <c r="K74" s="80" t="s">
        <v>39</v>
      </c>
      <c r="L74" s="327">
        <v>8997314</v>
      </c>
      <c r="M74" s="67" t="s">
        <v>20</v>
      </c>
    </row>
    <row r="75" spans="2:13" x14ac:dyDescent="0.3">
      <c r="B75" s="65">
        <v>44085</v>
      </c>
      <c r="C75" s="46" t="s">
        <v>1157</v>
      </c>
      <c r="D75" s="67" t="s">
        <v>31</v>
      </c>
      <c r="E75" s="46" t="s">
        <v>436</v>
      </c>
      <c r="F75" s="46" t="s">
        <v>1154</v>
      </c>
      <c r="G75" s="71" t="s">
        <v>301</v>
      </c>
      <c r="H75" s="178" t="s">
        <v>38</v>
      </c>
      <c r="I75" s="77" t="s">
        <v>97</v>
      </c>
      <c r="J75" s="80">
        <v>44088</v>
      </c>
      <c r="K75" s="80" t="s">
        <v>39</v>
      </c>
      <c r="L75" s="327">
        <v>8997314</v>
      </c>
      <c r="M75" s="67" t="s">
        <v>20</v>
      </c>
    </row>
    <row r="76" spans="2:13" x14ac:dyDescent="0.3">
      <c r="B76" s="65">
        <v>44082</v>
      </c>
      <c r="C76" s="46" t="s">
        <v>1235</v>
      </c>
      <c r="D76" s="67" t="s">
        <v>31</v>
      </c>
      <c r="E76" s="46" t="s">
        <v>1144</v>
      </c>
      <c r="F76" s="46" t="s">
        <v>227</v>
      </c>
      <c r="G76" s="71" t="s">
        <v>1051</v>
      </c>
      <c r="H76" s="178" t="s">
        <v>1236</v>
      </c>
      <c r="I76" s="77" t="s">
        <v>97</v>
      </c>
      <c r="J76" s="80">
        <v>44090</v>
      </c>
      <c r="K76" s="80" t="s">
        <v>39</v>
      </c>
      <c r="L76" s="327">
        <v>1021533</v>
      </c>
      <c r="M76" s="67" t="s">
        <v>19</v>
      </c>
    </row>
    <row r="77" spans="2:13" x14ac:dyDescent="0.3">
      <c r="B77" s="65">
        <v>44082</v>
      </c>
      <c r="C77" s="46" t="s">
        <v>1235</v>
      </c>
      <c r="D77" s="67" t="s">
        <v>31</v>
      </c>
      <c r="E77" s="46" t="s">
        <v>1144</v>
      </c>
      <c r="F77" s="46" t="s">
        <v>227</v>
      </c>
      <c r="G77" s="71" t="s">
        <v>1237</v>
      </c>
      <c r="H77" s="178" t="s">
        <v>1238</v>
      </c>
      <c r="I77" s="77" t="s">
        <v>97</v>
      </c>
      <c r="J77" s="80">
        <v>44091</v>
      </c>
      <c r="K77" s="80" t="s">
        <v>1161</v>
      </c>
      <c r="L77" s="327">
        <v>410000</v>
      </c>
      <c r="M77" s="67" t="s">
        <v>19</v>
      </c>
    </row>
    <row r="78" spans="2:13" x14ac:dyDescent="0.3">
      <c r="B78" s="65">
        <v>44088</v>
      </c>
      <c r="C78" s="46" t="s">
        <v>1050</v>
      </c>
      <c r="D78" s="67" t="s">
        <v>31</v>
      </c>
      <c r="E78" s="46" t="s">
        <v>1144</v>
      </c>
      <c r="F78" s="46" t="s">
        <v>227</v>
      </c>
      <c r="G78" s="71" t="s">
        <v>1051</v>
      </c>
      <c r="H78" s="178" t="s">
        <v>1052</v>
      </c>
      <c r="I78" s="77" t="s">
        <v>97</v>
      </c>
      <c r="J78" s="80">
        <v>44105</v>
      </c>
      <c r="K78" s="80" t="s">
        <v>39</v>
      </c>
      <c r="L78" s="327">
        <v>20717005</v>
      </c>
      <c r="M78" s="67" t="s">
        <v>19</v>
      </c>
    </row>
    <row r="79" spans="2:13" x14ac:dyDescent="0.3">
      <c r="B79" s="65">
        <v>44088</v>
      </c>
      <c r="C79" s="46" t="s">
        <v>1050</v>
      </c>
      <c r="D79" s="66" t="s">
        <v>31</v>
      </c>
      <c r="E79" s="46" t="s">
        <v>1144</v>
      </c>
      <c r="F79" s="66" t="s">
        <v>227</v>
      </c>
      <c r="G79" s="65" t="s">
        <v>1051</v>
      </c>
      <c r="H79" s="178" t="s">
        <v>32</v>
      </c>
      <c r="I79" s="77" t="s">
        <v>97</v>
      </c>
      <c r="J79" s="80">
        <v>44106</v>
      </c>
      <c r="K79" s="80" t="s">
        <v>39</v>
      </c>
      <c r="L79" s="327">
        <v>8936319</v>
      </c>
      <c r="M79" s="67" t="s">
        <v>19</v>
      </c>
    </row>
    <row r="80" spans="2:13" x14ac:dyDescent="0.3">
      <c r="B80" s="65">
        <v>44089</v>
      </c>
      <c r="C80" s="46" t="s">
        <v>1275</v>
      </c>
      <c r="D80" s="66" t="s">
        <v>31</v>
      </c>
      <c r="E80" s="46" t="s">
        <v>1144</v>
      </c>
      <c r="F80" s="66" t="s">
        <v>227</v>
      </c>
      <c r="G80" s="65" t="s">
        <v>1051</v>
      </c>
      <c r="H80" s="178" t="s">
        <v>32</v>
      </c>
      <c r="I80" s="77" t="s">
        <v>97</v>
      </c>
      <c r="J80" s="80">
        <v>44093</v>
      </c>
      <c r="K80" s="80" t="s">
        <v>39</v>
      </c>
      <c r="L80" s="327">
        <v>7790157</v>
      </c>
      <c r="M80" s="67" t="s">
        <v>19</v>
      </c>
    </row>
    <row r="81" spans="2:13" x14ac:dyDescent="0.3">
      <c r="B81" s="65">
        <v>44089</v>
      </c>
      <c r="C81" s="72" t="s">
        <v>1275</v>
      </c>
      <c r="D81" s="67" t="s">
        <v>31</v>
      </c>
      <c r="E81" s="46" t="s">
        <v>1144</v>
      </c>
      <c r="F81" s="72" t="s">
        <v>227</v>
      </c>
      <c r="G81" s="71" t="s">
        <v>1237</v>
      </c>
      <c r="H81" s="71" t="s">
        <v>32</v>
      </c>
      <c r="I81" s="78" t="s">
        <v>97</v>
      </c>
      <c r="J81" s="82">
        <v>44093</v>
      </c>
      <c r="K81" s="82" t="s">
        <v>39</v>
      </c>
      <c r="L81" s="327">
        <v>133700</v>
      </c>
      <c r="M81" s="67" t="s">
        <v>19</v>
      </c>
    </row>
    <row r="82" spans="2:13" x14ac:dyDescent="0.3">
      <c r="B82" s="65">
        <v>44104</v>
      </c>
      <c r="C82" s="46" t="s">
        <v>1225</v>
      </c>
      <c r="D82" s="67" t="s">
        <v>31</v>
      </c>
      <c r="E82" s="46" t="s">
        <v>1226</v>
      </c>
      <c r="F82" s="46" t="s">
        <v>149</v>
      </c>
      <c r="G82" s="71" t="s">
        <v>301</v>
      </c>
      <c r="H82" s="178" t="s">
        <v>32</v>
      </c>
      <c r="I82" s="77" t="s">
        <v>97</v>
      </c>
      <c r="J82" s="80">
        <v>44110</v>
      </c>
      <c r="K82" s="80" t="s">
        <v>33</v>
      </c>
      <c r="L82" s="327">
        <v>3692403</v>
      </c>
      <c r="M82" s="67" t="s">
        <v>20</v>
      </c>
    </row>
    <row r="83" spans="2:13" x14ac:dyDescent="0.3">
      <c r="B83" s="65">
        <v>44082</v>
      </c>
      <c r="C83" s="46" t="s">
        <v>1149</v>
      </c>
      <c r="D83" s="67" t="s">
        <v>31</v>
      </c>
      <c r="E83" s="46" t="s">
        <v>986</v>
      </c>
      <c r="F83" s="46" t="s">
        <v>1002</v>
      </c>
      <c r="G83" s="71" t="s">
        <v>301</v>
      </c>
      <c r="H83" s="178" t="s">
        <v>32</v>
      </c>
      <c r="I83" s="77" t="s">
        <v>97</v>
      </c>
      <c r="J83" s="80">
        <v>44083</v>
      </c>
      <c r="K83" s="80" t="s">
        <v>33</v>
      </c>
      <c r="L83" s="327">
        <f>900*10350</f>
        <v>9315000</v>
      </c>
      <c r="M83" s="67" t="s">
        <v>20</v>
      </c>
    </row>
    <row r="84" spans="2:13" x14ac:dyDescent="0.3">
      <c r="B84" s="65">
        <v>44082</v>
      </c>
      <c r="C84" s="46" t="s">
        <v>1150</v>
      </c>
      <c r="D84" s="67" t="s">
        <v>31</v>
      </c>
      <c r="E84" s="46" t="s">
        <v>986</v>
      </c>
      <c r="F84" s="46" t="s">
        <v>1002</v>
      </c>
      <c r="G84" s="71" t="s">
        <v>301</v>
      </c>
      <c r="H84" s="178" t="s">
        <v>32</v>
      </c>
      <c r="I84" s="77" t="s">
        <v>97</v>
      </c>
      <c r="J84" s="80">
        <v>44083</v>
      </c>
      <c r="K84" s="80" t="s">
        <v>33</v>
      </c>
      <c r="L84" s="327">
        <f>900*10350</f>
        <v>9315000</v>
      </c>
      <c r="M84" s="67" t="s">
        <v>20</v>
      </c>
    </row>
    <row r="85" spans="2:13" x14ac:dyDescent="0.3">
      <c r="B85" s="65">
        <v>44082</v>
      </c>
      <c r="C85" s="46" t="s">
        <v>1149</v>
      </c>
      <c r="D85" s="67" t="s">
        <v>31</v>
      </c>
      <c r="E85" s="46" t="s">
        <v>986</v>
      </c>
      <c r="F85" s="46" t="s">
        <v>1002</v>
      </c>
      <c r="G85" s="71" t="s">
        <v>301</v>
      </c>
      <c r="H85" s="178" t="s">
        <v>1151</v>
      </c>
      <c r="I85" s="77" t="s">
        <v>97</v>
      </c>
      <c r="J85" s="80">
        <v>44083</v>
      </c>
      <c r="K85" s="80" t="s">
        <v>33</v>
      </c>
      <c r="L85" s="327">
        <f>105*10350</f>
        <v>1086750</v>
      </c>
      <c r="M85" s="67" t="s">
        <v>20</v>
      </c>
    </row>
    <row r="86" spans="2:13" x14ac:dyDescent="0.3">
      <c r="B86" s="65">
        <v>44082</v>
      </c>
      <c r="C86" s="46" t="s">
        <v>1150</v>
      </c>
      <c r="D86" s="67" t="s">
        <v>31</v>
      </c>
      <c r="E86" s="46" t="s">
        <v>986</v>
      </c>
      <c r="F86" s="46" t="s">
        <v>1002</v>
      </c>
      <c r="G86" s="71" t="s">
        <v>301</v>
      </c>
      <c r="H86" s="178" t="s">
        <v>1151</v>
      </c>
      <c r="I86" s="77" t="s">
        <v>97</v>
      </c>
      <c r="J86" s="80">
        <v>44083</v>
      </c>
      <c r="K86" s="80" t="s">
        <v>33</v>
      </c>
      <c r="L86" s="327">
        <f>105*10350</f>
        <v>1086750</v>
      </c>
      <c r="M86" s="67" t="s">
        <v>20</v>
      </c>
    </row>
    <row r="87" spans="2:13" x14ac:dyDescent="0.3">
      <c r="B87" s="65">
        <v>44088</v>
      </c>
      <c r="C87" s="46" t="s">
        <v>1189</v>
      </c>
      <c r="D87" s="67" t="s">
        <v>31</v>
      </c>
      <c r="E87" s="46" t="s">
        <v>986</v>
      </c>
      <c r="F87" s="46" t="s">
        <v>1002</v>
      </c>
      <c r="G87" s="71" t="s">
        <v>301</v>
      </c>
      <c r="H87" s="178" t="s">
        <v>32</v>
      </c>
      <c r="I87" s="77" t="s">
        <v>97</v>
      </c>
      <c r="J87" s="80">
        <v>44090</v>
      </c>
      <c r="K87" s="80" t="s">
        <v>33</v>
      </c>
      <c r="L87" s="327">
        <f>600*10350</f>
        <v>6210000</v>
      </c>
      <c r="M87" s="67" t="s">
        <v>20</v>
      </c>
    </row>
    <row r="88" spans="2:13" x14ac:dyDescent="0.3">
      <c r="B88" s="65">
        <v>44088</v>
      </c>
      <c r="C88" s="46" t="s">
        <v>1190</v>
      </c>
      <c r="D88" s="67" t="s">
        <v>31</v>
      </c>
      <c r="E88" s="46" t="s">
        <v>986</v>
      </c>
      <c r="F88" s="46" t="s">
        <v>1002</v>
      </c>
      <c r="G88" s="71" t="s">
        <v>301</v>
      </c>
      <c r="H88" s="178" t="s">
        <v>32</v>
      </c>
      <c r="I88" s="77" t="s">
        <v>97</v>
      </c>
      <c r="J88" s="80">
        <v>44090</v>
      </c>
      <c r="K88" s="80" t="s">
        <v>33</v>
      </c>
      <c r="L88" s="327">
        <f>600*10350</f>
        <v>6210000</v>
      </c>
      <c r="M88" s="67" t="s">
        <v>20</v>
      </c>
    </row>
    <row r="89" spans="2:13" x14ac:dyDescent="0.3">
      <c r="B89" s="65">
        <v>44088</v>
      </c>
      <c r="C89" s="46" t="s">
        <v>1150</v>
      </c>
      <c r="D89" s="67" t="s">
        <v>31</v>
      </c>
      <c r="E89" s="46" t="s">
        <v>986</v>
      </c>
      <c r="F89" s="46" t="s">
        <v>1002</v>
      </c>
      <c r="G89" s="71" t="s">
        <v>304</v>
      </c>
      <c r="H89" s="178" t="s">
        <v>38</v>
      </c>
      <c r="I89" s="77" t="s">
        <v>97</v>
      </c>
      <c r="J89" s="80">
        <v>44090</v>
      </c>
      <c r="K89" s="80" t="s">
        <v>33</v>
      </c>
      <c r="L89" s="327">
        <f>900*10350</f>
        <v>9315000</v>
      </c>
      <c r="M89" s="67" t="s">
        <v>20</v>
      </c>
    </row>
    <row r="90" spans="2:13" x14ac:dyDescent="0.3">
      <c r="B90" s="65">
        <v>44088</v>
      </c>
      <c r="C90" s="46" t="s">
        <v>1149</v>
      </c>
      <c r="D90" s="67" t="s">
        <v>31</v>
      </c>
      <c r="E90" s="46" t="s">
        <v>986</v>
      </c>
      <c r="F90" s="46" t="s">
        <v>1002</v>
      </c>
      <c r="G90" s="71" t="s">
        <v>304</v>
      </c>
      <c r="H90" s="178" t="s">
        <v>38</v>
      </c>
      <c r="I90" s="77" t="s">
        <v>97</v>
      </c>
      <c r="J90" s="80">
        <v>44090</v>
      </c>
      <c r="K90" s="80" t="s">
        <v>33</v>
      </c>
      <c r="L90" s="327">
        <f>900*10350</f>
        <v>9315000</v>
      </c>
      <c r="M90" s="67" t="s">
        <v>20</v>
      </c>
    </row>
    <row r="91" spans="2:13" x14ac:dyDescent="0.3">
      <c r="B91" s="65">
        <v>44088</v>
      </c>
      <c r="C91" s="46" t="s">
        <v>1150</v>
      </c>
      <c r="D91" s="67" t="s">
        <v>31</v>
      </c>
      <c r="E91" s="46" t="s">
        <v>986</v>
      </c>
      <c r="F91" s="46" t="s">
        <v>1002</v>
      </c>
      <c r="G91" s="71" t="s">
        <v>304</v>
      </c>
      <c r="H91" s="178" t="s">
        <v>1194</v>
      </c>
      <c r="I91" s="77" t="s">
        <v>97</v>
      </c>
      <c r="J91" s="80">
        <v>44091</v>
      </c>
      <c r="K91" s="80" t="s">
        <v>39</v>
      </c>
      <c r="L91" s="327">
        <v>1301414.29</v>
      </c>
      <c r="M91" s="67" t="s">
        <v>20</v>
      </c>
    </row>
    <row r="92" spans="2:13" x14ac:dyDescent="0.3">
      <c r="B92" s="65">
        <v>44088</v>
      </c>
      <c r="C92" s="46" t="s">
        <v>1149</v>
      </c>
      <c r="D92" s="67" t="s">
        <v>31</v>
      </c>
      <c r="E92" s="46" t="s">
        <v>986</v>
      </c>
      <c r="F92" s="46" t="s">
        <v>1002</v>
      </c>
      <c r="G92" s="71" t="s">
        <v>304</v>
      </c>
      <c r="H92" s="178" t="s">
        <v>1194</v>
      </c>
      <c r="I92" s="77" t="s">
        <v>97</v>
      </c>
      <c r="J92" s="80">
        <v>44091</v>
      </c>
      <c r="K92" s="80" t="s">
        <v>39</v>
      </c>
      <c r="L92" s="327">
        <v>1301414.29</v>
      </c>
      <c r="M92" s="67" t="s">
        <v>20</v>
      </c>
    </row>
    <row r="93" spans="2:13" x14ac:dyDescent="0.3">
      <c r="B93" s="65">
        <v>44089</v>
      </c>
      <c r="C93" s="46" t="s">
        <v>1198</v>
      </c>
      <c r="D93" s="67" t="s">
        <v>31</v>
      </c>
      <c r="E93" s="46" t="s">
        <v>986</v>
      </c>
      <c r="F93" s="46" t="s">
        <v>1002</v>
      </c>
      <c r="G93" s="71" t="s">
        <v>301</v>
      </c>
      <c r="H93" s="178" t="s">
        <v>32</v>
      </c>
      <c r="I93" s="77" t="s">
        <v>97</v>
      </c>
      <c r="J93" s="80">
        <v>44093</v>
      </c>
      <c r="K93" s="80" t="s">
        <v>39</v>
      </c>
      <c r="L93" s="327">
        <v>7790157</v>
      </c>
      <c r="M93" s="67" t="s">
        <v>20</v>
      </c>
    </row>
    <row r="94" spans="2:13" x14ac:dyDescent="0.3">
      <c r="B94" s="65">
        <v>44089</v>
      </c>
      <c r="C94" s="46" t="s">
        <v>1199</v>
      </c>
      <c r="D94" s="67" t="s">
        <v>31</v>
      </c>
      <c r="E94" s="46" t="s">
        <v>986</v>
      </c>
      <c r="F94" s="46" t="s">
        <v>1002</v>
      </c>
      <c r="G94" s="71" t="s">
        <v>304</v>
      </c>
      <c r="H94" s="178" t="s">
        <v>38</v>
      </c>
      <c r="I94" s="77" t="s">
        <v>97</v>
      </c>
      <c r="J94" s="80">
        <v>44090</v>
      </c>
      <c r="K94" s="80" t="s">
        <v>33</v>
      </c>
      <c r="L94" s="327">
        <f>650*10350</f>
        <v>6727500</v>
      </c>
      <c r="M94" s="67" t="s">
        <v>20</v>
      </c>
    </row>
    <row r="95" spans="2:13" x14ac:dyDescent="0.3">
      <c r="B95" s="65">
        <v>44098</v>
      </c>
      <c r="C95" s="46" t="s">
        <v>1213</v>
      </c>
      <c r="D95" s="67" t="s">
        <v>31</v>
      </c>
      <c r="E95" s="46" t="s">
        <v>986</v>
      </c>
      <c r="F95" s="46" t="s">
        <v>1002</v>
      </c>
      <c r="G95" s="71" t="s">
        <v>304</v>
      </c>
      <c r="H95" s="178" t="s">
        <v>38</v>
      </c>
      <c r="I95" s="77" t="s">
        <v>97</v>
      </c>
      <c r="J95" s="80">
        <v>44105</v>
      </c>
      <c r="K95" s="80" t="s">
        <v>39</v>
      </c>
      <c r="L95" s="327">
        <v>4417408</v>
      </c>
      <c r="M95" s="67" t="s">
        <v>19</v>
      </c>
    </row>
    <row r="96" spans="2:13" x14ac:dyDescent="0.3">
      <c r="B96" s="65">
        <v>44100</v>
      </c>
      <c r="C96" s="46" t="s">
        <v>1214</v>
      </c>
      <c r="D96" s="67" t="s">
        <v>31</v>
      </c>
      <c r="E96" s="46" t="s">
        <v>986</v>
      </c>
      <c r="F96" s="46" t="s">
        <v>1002</v>
      </c>
      <c r="G96" s="71" t="s">
        <v>301</v>
      </c>
      <c r="H96" s="178" t="s">
        <v>1215</v>
      </c>
      <c r="I96" s="77" t="s">
        <v>97</v>
      </c>
      <c r="J96" s="80">
        <v>44109</v>
      </c>
      <c r="K96" s="80" t="s">
        <v>39</v>
      </c>
      <c r="L96" s="327">
        <v>5165817</v>
      </c>
      <c r="M96" s="67" t="s">
        <v>19</v>
      </c>
    </row>
    <row r="97" spans="2:13" x14ac:dyDescent="0.3">
      <c r="B97" s="65">
        <v>44100</v>
      </c>
      <c r="C97" s="46" t="s">
        <v>1216</v>
      </c>
      <c r="D97" s="67" t="s">
        <v>31</v>
      </c>
      <c r="E97" s="46" t="s">
        <v>986</v>
      </c>
      <c r="F97" s="46" t="s">
        <v>1002</v>
      </c>
      <c r="G97" s="71" t="s">
        <v>301</v>
      </c>
      <c r="H97" s="178" t="s">
        <v>32</v>
      </c>
      <c r="I97" s="77" t="s">
        <v>97</v>
      </c>
      <c r="J97" s="80">
        <v>44109</v>
      </c>
      <c r="K97" s="80" t="s">
        <v>39</v>
      </c>
      <c r="L97" s="327">
        <v>5500548</v>
      </c>
      <c r="M97" s="67" t="s">
        <v>19</v>
      </c>
    </row>
    <row r="98" spans="2:13" x14ac:dyDescent="0.3">
      <c r="B98" s="65">
        <v>44100</v>
      </c>
      <c r="C98" s="46" t="s">
        <v>1217</v>
      </c>
      <c r="D98" s="67" t="s">
        <v>31</v>
      </c>
      <c r="E98" s="46" t="s">
        <v>986</v>
      </c>
      <c r="F98" s="46" t="s">
        <v>1002</v>
      </c>
      <c r="G98" s="71" t="s">
        <v>301</v>
      </c>
      <c r="H98" s="178" t="s">
        <v>32</v>
      </c>
      <c r="I98" s="77" t="s">
        <v>97</v>
      </c>
      <c r="J98" s="80">
        <v>44109</v>
      </c>
      <c r="K98" s="80" t="s">
        <v>39</v>
      </c>
      <c r="L98" s="327">
        <v>5500548</v>
      </c>
      <c r="M98" s="67" t="s">
        <v>19</v>
      </c>
    </row>
    <row r="99" spans="2:13" x14ac:dyDescent="0.3">
      <c r="B99" s="65">
        <v>44100</v>
      </c>
      <c r="C99" s="46" t="s">
        <v>1218</v>
      </c>
      <c r="D99" s="67" t="s">
        <v>31</v>
      </c>
      <c r="E99" s="46" t="s">
        <v>986</v>
      </c>
      <c r="F99" s="46" t="s">
        <v>1002</v>
      </c>
      <c r="G99" s="71" t="s">
        <v>301</v>
      </c>
      <c r="H99" s="178" t="s">
        <v>32</v>
      </c>
      <c r="I99" s="77" t="s">
        <v>97</v>
      </c>
      <c r="J99" s="80">
        <v>44109</v>
      </c>
      <c r="K99" s="80" t="s">
        <v>39</v>
      </c>
      <c r="L99" s="327">
        <v>5500548</v>
      </c>
      <c r="M99" s="67" t="s">
        <v>19</v>
      </c>
    </row>
    <row r="100" spans="2:13" x14ac:dyDescent="0.3">
      <c r="B100" s="65">
        <v>44100</v>
      </c>
      <c r="C100" s="46" t="s">
        <v>1219</v>
      </c>
      <c r="D100" s="67" t="s">
        <v>31</v>
      </c>
      <c r="E100" s="46" t="s">
        <v>986</v>
      </c>
      <c r="F100" s="46" t="s">
        <v>1002</v>
      </c>
      <c r="G100" s="71" t="s">
        <v>301</v>
      </c>
      <c r="H100" s="178" t="s">
        <v>32</v>
      </c>
      <c r="I100" s="77" t="s">
        <v>97</v>
      </c>
      <c r="J100" s="80">
        <v>44106</v>
      </c>
      <c r="K100" s="80" t="s">
        <v>33</v>
      </c>
      <c r="L100" s="327">
        <v>4722259</v>
      </c>
      <c r="M100" s="67" t="s">
        <v>19</v>
      </c>
    </row>
    <row r="101" spans="2:13" x14ac:dyDescent="0.3">
      <c r="B101" s="65">
        <v>44100</v>
      </c>
      <c r="C101" s="46" t="s">
        <v>1220</v>
      </c>
      <c r="D101" s="67" t="s">
        <v>31</v>
      </c>
      <c r="E101" s="46" t="s">
        <v>986</v>
      </c>
      <c r="F101" s="46" t="s">
        <v>1002</v>
      </c>
      <c r="G101" s="71" t="s">
        <v>301</v>
      </c>
      <c r="H101" s="178" t="s">
        <v>32</v>
      </c>
      <c r="I101" s="77" t="s">
        <v>97</v>
      </c>
      <c r="J101" s="80">
        <v>44106</v>
      </c>
      <c r="K101" s="80" t="s">
        <v>33</v>
      </c>
      <c r="L101" s="327">
        <v>4722259</v>
      </c>
      <c r="M101" s="67" t="s">
        <v>19</v>
      </c>
    </row>
    <row r="102" spans="2:13" x14ac:dyDescent="0.3">
      <c r="B102" s="65">
        <v>44100</v>
      </c>
      <c r="C102" s="46" t="s">
        <v>1221</v>
      </c>
      <c r="D102" s="67" t="s">
        <v>31</v>
      </c>
      <c r="E102" s="46" t="s">
        <v>986</v>
      </c>
      <c r="F102" s="46" t="s">
        <v>1002</v>
      </c>
      <c r="G102" s="71" t="s">
        <v>304</v>
      </c>
      <c r="H102" s="178" t="s">
        <v>38</v>
      </c>
      <c r="I102" s="77" t="s">
        <v>97</v>
      </c>
      <c r="J102" s="80">
        <v>44106</v>
      </c>
      <c r="K102" s="80" t="s">
        <v>33</v>
      </c>
      <c r="L102" s="327">
        <v>4420237</v>
      </c>
      <c r="M102" s="67" t="s">
        <v>19</v>
      </c>
    </row>
    <row r="103" spans="2:13" x14ac:dyDescent="0.3">
      <c r="B103" s="65">
        <v>44100</v>
      </c>
      <c r="C103" s="46" t="s">
        <v>1221</v>
      </c>
      <c r="D103" s="67" t="s">
        <v>31</v>
      </c>
      <c r="E103" s="46" t="s">
        <v>986</v>
      </c>
      <c r="F103" s="46" t="s">
        <v>1002</v>
      </c>
      <c r="G103" s="71" t="s">
        <v>301</v>
      </c>
      <c r="H103" s="178" t="s">
        <v>32</v>
      </c>
      <c r="I103" s="77" t="s">
        <v>97</v>
      </c>
      <c r="J103" s="80">
        <v>44116</v>
      </c>
      <c r="K103" s="80" t="s">
        <v>39</v>
      </c>
      <c r="L103" s="327">
        <v>3695314</v>
      </c>
      <c r="M103" s="67" t="s">
        <v>19</v>
      </c>
    </row>
    <row r="104" spans="2:13" x14ac:dyDescent="0.3">
      <c r="B104" s="65">
        <v>44100</v>
      </c>
      <c r="C104" s="46" t="s">
        <v>1222</v>
      </c>
      <c r="D104" s="67" t="s">
        <v>31</v>
      </c>
      <c r="E104" s="46" t="s">
        <v>986</v>
      </c>
      <c r="F104" s="46" t="s">
        <v>1002</v>
      </c>
      <c r="G104" s="71" t="s">
        <v>304</v>
      </c>
      <c r="H104" s="178" t="s">
        <v>38</v>
      </c>
      <c r="I104" s="77" t="s">
        <v>97</v>
      </c>
      <c r="J104" s="80">
        <v>44106</v>
      </c>
      <c r="K104" s="80" t="s">
        <v>33</v>
      </c>
      <c r="L104" s="327">
        <v>4420237</v>
      </c>
      <c r="M104" s="67" t="s">
        <v>19</v>
      </c>
    </row>
    <row r="105" spans="2:13" x14ac:dyDescent="0.3">
      <c r="B105" s="65">
        <v>44100</v>
      </c>
      <c r="C105" s="46" t="s">
        <v>1223</v>
      </c>
      <c r="D105" s="67" t="s">
        <v>31</v>
      </c>
      <c r="E105" s="46" t="s">
        <v>986</v>
      </c>
      <c r="F105" s="46" t="s">
        <v>1002</v>
      </c>
      <c r="G105" s="71" t="s">
        <v>301</v>
      </c>
      <c r="H105" s="178" t="s">
        <v>32</v>
      </c>
      <c r="I105" s="77" t="s">
        <v>97</v>
      </c>
      <c r="J105" s="80">
        <v>44116</v>
      </c>
      <c r="K105" s="80" t="s">
        <v>39</v>
      </c>
      <c r="L105" s="327">
        <v>3695314</v>
      </c>
      <c r="M105" s="67" t="s">
        <v>19</v>
      </c>
    </row>
    <row r="106" spans="2:13" x14ac:dyDescent="0.3">
      <c r="B106" s="65">
        <v>44100</v>
      </c>
      <c r="C106" s="46" t="s">
        <v>1224</v>
      </c>
      <c r="D106" s="67" t="s">
        <v>31</v>
      </c>
      <c r="E106" s="46" t="s">
        <v>986</v>
      </c>
      <c r="F106" s="46" t="s">
        <v>1002</v>
      </c>
      <c r="G106" s="71" t="s">
        <v>304</v>
      </c>
      <c r="H106" s="178" t="s">
        <v>38</v>
      </c>
      <c r="I106" s="77" t="s">
        <v>97</v>
      </c>
      <c r="J106" s="80">
        <v>44106</v>
      </c>
      <c r="K106" s="80" t="s">
        <v>33</v>
      </c>
      <c r="L106" s="327">
        <v>4420237</v>
      </c>
      <c r="M106" s="67" t="s">
        <v>19</v>
      </c>
    </row>
    <row r="107" spans="2:13" x14ac:dyDescent="0.3">
      <c r="B107" s="65">
        <v>44100</v>
      </c>
      <c r="C107" s="46" t="s">
        <v>1224</v>
      </c>
      <c r="D107" s="67" t="s">
        <v>31</v>
      </c>
      <c r="E107" s="46" t="s">
        <v>986</v>
      </c>
      <c r="F107" s="46" t="s">
        <v>1002</v>
      </c>
      <c r="G107" s="71" t="s">
        <v>301</v>
      </c>
      <c r="H107" s="178" t="s">
        <v>32</v>
      </c>
      <c r="I107" s="77" t="s">
        <v>97</v>
      </c>
      <c r="J107" s="80">
        <v>44116</v>
      </c>
      <c r="K107" s="80" t="s">
        <v>39</v>
      </c>
      <c r="L107" s="327">
        <v>3695314</v>
      </c>
      <c r="M107" s="67" t="s">
        <v>19</v>
      </c>
    </row>
    <row r="108" spans="2:13" x14ac:dyDescent="0.3">
      <c r="B108" s="65">
        <v>44084</v>
      </c>
      <c r="C108" s="46" t="s">
        <v>1247</v>
      </c>
      <c r="D108" s="67" t="s">
        <v>31</v>
      </c>
      <c r="E108" s="46" t="s">
        <v>1020</v>
      </c>
      <c r="F108" s="46" t="s">
        <v>1022</v>
      </c>
      <c r="G108" s="71" t="s">
        <v>116</v>
      </c>
      <c r="H108" s="178" t="s">
        <v>1248</v>
      </c>
      <c r="I108" s="77" t="s">
        <v>97</v>
      </c>
      <c r="J108" s="80">
        <v>44083</v>
      </c>
      <c r="K108" s="80" t="s">
        <v>33</v>
      </c>
      <c r="L108" s="327">
        <v>6210000</v>
      </c>
      <c r="M108" s="67" t="s">
        <v>20</v>
      </c>
    </row>
    <row r="109" spans="2:13" x14ac:dyDescent="0.3">
      <c r="B109" s="65">
        <v>44084</v>
      </c>
      <c r="C109" s="46" t="s">
        <v>1249</v>
      </c>
      <c r="D109" s="67" t="s">
        <v>31</v>
      </c>
      <c r="E109" s="46" t="s">
        <v>1020</v>
      </c>
      <c r="F109" s="46" t="s">
        <v>1022</v>
      </c>
      <c r="G109" s="71" t="s">
        <v>116</v>
      </c>
      <c r="H109" s="178" t="s">
        <v>1248</v>
      </c>
      <c r="I109" s="77" t="s">
        <v>97</v>
      </c>
      <c r="J109" s="80">
        <v>44083</v>
      </c>
      <c r="K109" s="80" t="s">
        <v>33</v>
      </c>
      <c r="L109" s="327">
        <v>6210000</v>
      </c>
      <c r="M109" s="67" t="s">
        <v>20</v>
      </c>
    </row>
    <row r="110" spans="2:13" x14ac:dyDescent="0.3">
      <c r="B110" s="65">
        <v>44084</v>
      </c>
      <c r="C110" s="46" t="s">
        <v>1250</v>
      </c>
      <c r="D110" s="67" t="s">
        <v>31</v>
      </c>
      <c r="E110" s="46" t="s">
        <v>1020</v>
      </c>
      <c r="F110" s="46" t="s">
        <v>1022</v>
      </c>
      <c r="G110" s="71" t="s">
        <v>116</v>
      </c>
      <c r="H110" s="178" t="s">
        <v>1248</v>
      </c>
      <c r="I110" s="77" t="s">
        <v>97</v>
      </c>
      <c r="J110" s="80">
        <v>44083</v>
      </c>
      <c r="K110" s="80" t="s">
        <v>33</v>
      </c>
      <c r="L110" s="327">
        <v>6210000</v>
      </c>
      <c r="M110" s="67" t="s">
        <v>20</v>
      </c>
    </row>
    <row r="111" spans="2:13" x14ac:dyDescent="0.3">
      <c r="B111" s="65">
        <v>44084</v>
      </c>
      <c r="C111" s="46" t="s">
        <v>1251</v>
      </c>
      <c r="D111" s="67" t="s">
        <v>31</v>
      </c>
      <c r="E111" s="46" t="s">
        <v>1020</v>
      </c>
      <c r="F111" s="46" t="s">
        <v>1022</v>
      </c>
      <c r="G111" s="71" t="s">
        <v>116</v>
      </c>
      <c r="H111" s="178" t="s">
        <v>1248</v>
      </c>
      <c r="I111" s="77" t="s">
        <v>97</v>
      </c>
      <c r="J111" s="80">
        <v>44083</v>
      </c>
      <c r="K111" s="80" t="s">
        <v>33</v>
      </c>
      <c r="L111" s="327">
        <v>6210000</v>
      </c>
      <c r="M111" s="67" t="s">
        <v>20</v>
      </c>
    </row>
    <row r="112" spans="2:13" x14ac:dyDescent="0.3">
      <c r="B112" s="65">
        <v>44084</v>
      </c>
      <c r="C112" s="46" t="s">
        <v>1252</v>
      </c>
      <c r="D112" s="67" t="s">
        <v>31</v>
      </c>
      <c r="E112" s="46" t="s">
        <v>1020</v>
      </c>
      <c r="F112" s="46" t="s">
        <v>1022</v>
      </c>
      <c r="G112" s="71" t="s">
        <v>116</v>
      </c>
      <c r="H112" s="178" t="s">
        <v>1248</v>
      </c>
      <c r="I112" s="77" t="s">
        <v>97</v>
      </c>
      <c r="J112" s="80">
        <v>44083</v>
      </c>
      <c r="K112" s="80" t="s">
        <v>33</v>
      </c>
      <c r="L112" s="327">
        <v>2070000</v>
      </c>
      <c r="M112" s="67" t="s">
        <v>20</v>
      </c>
    </row>
    <row r="113" spans="2:13" x14ac:dyDescent="0.3">
      <c r="B113" s="65">
        <v>44084</v>
      </c>
      <c r="C113" s="46" t="s">
        <v>1253</v>
      </c>
      <c r="D113" s="67" t="s">
        <v>31</v>
      </c>
      <c r="E113" s="46" t="s">
        <v>1020</v>
      </c>
      <c r="F113" s="46" t="s">
        <v>1022</v>
      </c>
      <c r="G113" s="71" t="s">
        <v>116</v>
      </c>
      <c r="H113" s="178" t="s">
        <v>1248</v>
      </c>
      <c r="I113" s="77" t="s">
        <v>97</v>
      </c>
      <c r="J113" s="80">
        <v>44083</v>
      </c>
      <c r="K113" s="80" t="s">
        <v>33</v>
      </c>
      <c r="L113" s="327">
        <v>6210000</v>
      </c>
      <c r="M113" s="67" t="s">
        <v>20</v>
      </c>
    </row>
    <row r="114" spans="2:13" x14ac:dyDescent="0.3">
      <c r="B114" s="65">
        <v>44084</v>
      </c>
      <c r="C114" s="46" t="s">
        <v>1254</v>
      </c>
      <c r="D114" s="67" t="s">
        <v>31</v>
      </c>
      <c r="E114" s="46" t="s">
        <v>1020</v>
      </c>
      <c r="F114" s="46" t="s">
        <v>1022</v>
      </c>
      <c r="G114" s="71" t="s">
        <v>116</v>
      </c>
      <c r="H114" s="178" t="s">
        <v>1248</v>
      </c>
      <c r="I114" s="77" t="s">
        <v>97</v>
      </c>
      <c r="J114" s="80">
        <v>44083</v>
      </c>
      <c r="K114" s="80" t="s">
        <v>33</v>
      </c>
      <c r="L114" s="327">
        <v>6210000</v>
      </c>
      <c r="M114" s="67" t="s">
        <v>20</v>
      </c>
    </row>
    <row r="115" spans="2:13" x14ac:dyDescent="0.3">
      <c r="B115" s="65">
        <v>44084</v>
      </c>
      <c r="C115" s="46" t="s">
        <v>1255</v>
      </c>
      <c r="D115" s="67" t="s">
        <v>31</v>
      </c>
      <c r="E115" s="46" t="s">
        <v>1020</v>
      </c>
      <c r="F115" s="46" t="s">
        <v>1022</v>
      </c>
      <c r="G115" s="71" t="s">
        <v>116</v>
      </c>
      <c r="H115" s="178" t="s">
        <v>1248</v>
      </c>
      <c r="I115" s="77" t="s">
        <v>97</v>
      </c>
      <c r="J115" s="80">
        <v>44083</v>
      </c>
      <c r="K115" s="80" t="s">
        <v>33</v>
      </c>
      <c r="L115" s="327">
        <v>2070000</v>
      </c>
      <c r="M115" s="67" t="s">
        <v>20</v>
      </c>
    </row>
    <row r="116" spans="2:13" x14ac:dyDescent="0.3">
      <c r="B116" s="65">
        <v>44084</v>
      </c>
      <c r="C116" s="46" t="s">
        <v>1256</v>
      </c>
      <c r="D116" s="67" t="s">
        <v>31</v>
      </c>
      <c r="E116" s="46" t="s">
        <v>1020</v>
      </c>
      <c r="F116" s="46" t="s">
        <v>1022</v>
      </c>
      <c r="G116" s="71" t="s">
        <v>116</v>
      </c>
      <c r="H116" s="178" t="s">
        <v>1248</v>
      </c>
      <c r="I116" s="77" t="s">
        <v>97</v>
      </c>
      <c r="J116" s="80">
        <v>44083</v>
      </c>
      <c r="K116" s="80" t="s">
        <v>33</v>
      </c>
      <c r="L116" s="327">
        <v>6210000</v>
      </c>
      <c r="M116" s="67" t="s">
        <v>20</v>
      </c>
    </row>
    <row r="117" spans="2:13" x14ac:dyDescent="0.3">
      <c r="B117" s="65">
        <v>44084</v>
      </c>
      <c r="C117" s="46" t="s">
        <v>1257</v>
      </c>
      <c r="D117" s="67" t="s">
        <v>31</v>
      </c>
      <c r="E117" s="46" t="s">
        <v>1020</v>
      </c>
      <c r="F117" s="46" t="s">
        <v>1022</v>
      </c>
      <c r="G117" s="71" t="s">
        <v>116</v>
      </c>
      <c r="H117" s="178" t="s">
        <v>1248</v>
      </c>
      <c r="I117" s="77" t="s">
        <v>97</v>
      </c>
      <c r="J117" s="80">
        <v>44083</v>
      </c>
      <c r="K117" s="80" t="s">
        <v>33</v>
      </c>
      <c r="L117" s="327">
        <v>6210000</v>
      </c>
      <c r="M117" s="67" t="s">
        <v>20</v>
      </c>
    </row>
    <row r="118" spans="2:13" x14ac:dyDescent="0.3">
      <c r="B118" s="65">
        <v>44084</v>
      </c>
      <c r="C118" s="46" t="s">
        <v>1258</v>
      </c>
      <c r="D118" s="67" t="s">
        <v>31</v>
      </c>
      <c r="E118" s="46" t="s">
        <v>1020</v>
      </c>
      <c r="F118" s="46" t="s">
        <v>1022</v>
      </c>
      <c r="G118" s="71" t="s">
        <v>116</v>
      </c>
      <c r="H118" s="178" t="s">
        <v>1248</v>
      </c>
      <c r="I118" s="77" t="s">
        <v>97</v>
      </c>
      <c r="J118" s="80">
        <v>44083</v>
      </c>
      <c r="K118" s="80" t="s">
        <v>33</v>
      </c>
      <c r="L118" s="327">
        <v>6210000</v>
      </c>
      <c r="M118" s="67" t="s">
        <v>20</v>
      </c>
    </row>
    <row r="119" spans="2:13" x14ac:dyDescent="0.3">
      <c r="B119" s="65">
        <v>44084</v>
      </c>
      <c r="C119" s="46" t="s">
        <v>1259</v>
      </c>
      <c r="D119" s="67" t="s">
        <v>31</v>
      </c>
      <c r="E119" s="46" t="s">
        <v>1020</v>
      </c>
      <c r="F119" s="46" t="s">
        <v>1022</v>
      </c>
      <c r="G119" s="71" t="s">
        <v>116</v>
      </c>
      <c r="H119" s="178" t="s">
        <v>1248</v>
      </c>
      <c r="I119" s="77" t="s">
        <v>97</v>
      </c>
      <c r="J119" s="80">
        <v>44083</v>
      </c>
      <c r="K119" s="80" t="s">
        <v>33</v>
      </c>
      <c r="L119" s="327">
        <v>6210000</v>
      </c>
      <c r="M119" s="67" t="s">
        <v>20</v>
      </c>
    </row>
    <row r="120" spans="2:13" x14ac:dyDescent="0.3">
      <c r="B120" s="65">
        <v>44084</v>
      </c>
      <c r="C120" s="46" t="s">
        <v>1260</v>
      </c>
      <c r="D120" s="67" t="s">
        <v>31</v>
      </c>
      <c r="E120" s="46" t="s">
        <v>1020</v>
      </c>
      <c r="F120" s="46" t="s">
        <v>1022</v>
      </c>
      <c r="G120" s="71" t="s">
        <v>116</v>
      </c>
      <c r="H120" s="178" t="s">
        <v>1248</v>
      </c>
      <c r="I120" s="77" t="s">
        <v>97</v>
      </c>
      <c r="J120" s="80">
        <v>44083</v>
      </c>
      <c r="K120" s="80" t="s">
        <v>33</v>
      </c>
      <c r="L120" s="327">
        <v>6210000</v>
      </c>
      <c r="M120" s="67" t="s">
        <v>20</v>
      </c>
    </row>
    <row r="121" spans="2:13" x14ac:dyDescent="0.3">
      <c r="B121" s="65">
        <v>44084</v>
      </c>
      <c r="C121" s="46" t="s">
        <v>1261</v>
      </c>
      <c r="D121" s="67" t="s">
        <v>31</v>
      </c>
      <c r="E121" s="46" t="s">
        <v>1020</v>
      </c>
      <c r="F121" s="46" t="s">
        <v>1022</v>
      </c>
      <c r="G121" s="71" t="s">
        <v>116</v>
      </c>
      <c r="H121" s="178" t="s">
        <v>1248</v>
      </c>
      <c r="I121" s="77" t="s">
        <v>97</v>
      </c>
      <c r="J121" s="80">
        <v>44083</v>
      </c>
      <c r="K121" s="80" t="s">
        <v>33</v>
      </c>
      <c r="L121" s="327">
        <v>6210000</v>
      </c>
      <c r="M121" s="67" t="s">
        <v>20</v>
      </c>
    </row>
    <row r="122" spans="2:13" x14ac:dyDescent="0.3">
      <c r="B122" s="65">
        <v>44084</v>
      </c>
      <c r="C122" s="46" t="s">
        <v>1262</v>
      </c>
      <c r="D122" s="67" t="s">
        <v>31</v>
      </c>
      <c r="E122" s="46" t="s">
        <v>1020</v>
      </c>
      <c r="F122" s="46" t="s">
        <v>1022</v>
      </c>
      <c r="G122" s="71" t="s">
        <v>116</v>
      </c>
      <c r="H122" s="178" t="s">
        <v>1248</v>
      </c>
      <c r="I122" s="77" t="s">
        <v>97</v>
      </c>
      <c r="J122" s="80">
        <v>44083</v>
      </c>
      <c r="K122" s="80" t="s">
        <v>33</v>
      </c>
      <c r="L122" s="327">
        <v>6210000</v>
      </c>
      <c r="M122" s="67" t="s">
        <v>20</v>
      </c>
    </row>
    <row r="123" spans="2:13" x14ac:dyDescent="0.3">
      <c r="B123" s="65">
        <v>44084</v>
      </c>
      <c r="C123" s="46" t="s">
        <v>1263</v>
      </c>
      <c r="D123" s="67" t="s">
        <v>31</v>
      </c>
      <c r="E123" s="46" t="s">
        <v>1020</v>
      </c>
      <c r="F123" s="46" t="s">
        <v>1022</v>
      </c>
      <c r="G123" s="71" t="s">
        <v>116</v>
      </c>
      <c r="H123" s="178" t="s">
        <v>1248</v>
      </c>
      <c r="I123" s="77" t="s">
        <v>97</v>
      </c>
      <c r="J123" s="80">
        <v>44083</v>
      </c>
      <c r="K123" s="80" t="s">
        <v>33</v>
      </c>
      <c r="L123" s="327">
        <v>2070000</v>
      </c>
      <c r="M123" s="67" t="s">
        <v>20</v>
      </c>
    </row>
    <row r="124" spans="2:13" x14ac:dyDescent="0.3">
      <c r="B124" s="65">
        <v>44084</v>
      </c>
      <c r="C124" s="46" t="s">
        <v>1264</v>
      </c>
      <c r="D124" s="67" t="s">
        <v>31</v>
      </c>
      <c r="E124" s="46" t="s">
        <v>1020</v>
      </c>
      <c r="F124" s="46" t="s">
        <v>1022</v>
      </c>
      <c r="G124" s="71" t="s">
        <v>116</v>
      </c>
      <c r="H124" s="178" t="s">
        <v>1248</v>
      </c>
      <c r="I124" s="77" t="s">
        <v>97</v>
      </c>
      <c r="J124" s="80">
        <v>44083</v>
      </c>
      <c r="K124" s="80" t="s">
        <v>33</v>
      </c>
      <c r="L124" s="327">
        <v>6210000</v>
      </c>
      <c r="M124" s="67" t="s">
        <v>20</v>
      </c>
    </row>
    <row r="125" spans="2:13" x14ac:dyDescent="0.3">
      <c r="B125" s="65">
        <v>44084</v>
      </c>
      <c r="C125" s="46" t="s">
        <v>1265</v>
      </c>
      <c r="D125" s="67" t="s">
        <v>31</v>
      </c>
      <c r="E125" s="46" t="s">
        <v>1020</v>
      </c>
      <c r="F125" s="46" t="s">
        <v>1022</v>
      </c>
      <c r="G125" s="71" t="s">
        <v>116</v>
      </c>
      <c r="H125" s="178" t="s">
        <v>1248</v>
      </c>
      <c r="I125" s="77" t="s">
        <v>97</v>
      </c>
      <c r="J125" s="80">
        <v>44083</v>
      </c>
      <c r="K125" s="80" t="s">
        <v>33</v>
      </c>
      <c r="L125" s="327">
        <v>6210000</v>
      </c>
      <c r="M125" s="67" t="s">
        <v>20</v>
      </c>
    </row>
    <row r="126" spans="2:13" x14ac:dyDescent="0.3">
      <c r="B126" s="65">
        <v>44084</v>
      </c>
      <c r="C126" s="46" t="s">
        <v>1266</v>
      </c>
      <c r="D126" s="67" t="s">
        <v>31</v>
      </c>
      <c r="E126" s="46" t="s">
        <v>1020</v>
      </c>
      <c r="F126" s="46" t="s">
        <v>1022</v>
      </c>
      <c r="G126" s="71" t="s">
        <v>116</v>
      </c>
      <c r="H126" s="178" t="s">
        <v>1248</v>
      </c>
      <c r="I126" s="77" t="s">
        <v>97</v>
      </c>
      <c r="J126" s="80">
        <v>44083</v>
      </c>
      <c r="K126" s="80" t="s">
        <v>33</v>
      </c>
      <c r="L126" s="327">
        <v>6210000</v>
      </c>
      <c r="M126" s="67" t="s">
        <v>20</v>
      </c>
    </row>
    <row r="127" spans="2:13" x14ac:dyDescent="0.3">
      <c r="B127" s="65">
        <v>44084</v>
      </c>
      <c r="C127" s="68" t="s">
        <v>1267</v>
      </c>
      <c r="D127" s="67" t="s">
        <v>31</v>
      </c>
      <c r="E127" s="46" t="s">
        <v>1020</v>
      </c>
      <c r="F127" s="46" t="s">
        <v>1022</v>
      </c>
      <c r="G127" s="71" t="s">
        <v>116</v>
      </c>
      <c r="H127" s="178" t="s">
        <v>1248</v>
      </c>
      <c r="I127" s="77" t="s">
        <v>97</v>
      </c>
      <c r="J127" s="80">
        <v>44083</v>
      </c>
      <c r="K127" s="80" t="s">
        <v>33</v>
      </c>
      <c r="L127" s="327">
        <v>6210000</v>
      </c>
      <c r="M127" s="67" t="s">
        <v>20</v>
      </c>
    </row>
    <row r="128" spans="2:13" x14ac:dyDescent="0.3">
      <c r="B128" s="65">
        <v>44084</v>
      </c>
      <c r="C128" s="46" t="s">
        <v>1268</v>
      </c>
      <c r="D128" s="67" t="s">
        <v>31</v>
      </c>
      <c r="E128" s="46" t="s">
        <v>1020</v>
      </c>
      <c r="F128" s="46" t="s">
        <v>1022</v>
      </c>
      <c r="G128" s="71" t="s">
        <v>116</v>
      </c>
      <c r="H128" s="178" t="s">
        <v>1248</v>
      </c>
      <c r="I128" s="77" t="s">
        <v>97</v>
      </c>
      <c r="J128" s="80">
        <v>44083</v>
      </c>
      <c r="K128" s="80" t="s">
        <v>33</v>
      </c>
      <c r="L128" s="327">
        <v>6210000</v>
      </c>
      <c r="M128" s="67" t="s">
        <v>20</v>
      </c>
    </row>
    <row r="129" spans="2:13" x14ac:dyDescent="0.3">
      <c r="B129" s="65">
        <v>44084</v>
      </c>
      <c r="C129" s="46" t="s">
        <v>1269</v>
      </c>
      <c r="D129" s="67" t="s">
        <v>31</v>
      </c>
      <c r="E129" s="46" t="s">
        <v>1020</v>
      </c>
      <c r="F129" s="46" t="s">
        <v>1022</v>
      </c>
      <c r="G129" s="71" t="s">
        <v>116</v>
      </c>
      <c r="H129" s="178" t="s">
        <v>1248</v>
      </c>
      <c r="I129" s="77" t="s">
        <v>97</v>
      </c>
      <c r="J129" s="80">
        <v>44083</v>
      </c>
      <c r="K129" s="80" t="s">
        <v>33</v>
      </c>
      <c r="L129" s="327">
        <v>6210000</v>
      </c>
      <c r="M129" s="67" t="s">
        <v>20</v>
      </c>
    </row>
    <row r="130" spans="2:13" x14ac:dyDescent="0.3">
      <c r="B130" s="65">
        <v>44084</v>
      </c>
      <c r="C130" s="68" t="s">
        <v>1270</v>
      </c>
      <c r="D130" s="67" t="s">
        <v>31</v>
      </c>
      <c r="E130" s="46" t="s">
        <v>1020</v>
      </c>
      <c r="F130" s="46" t="s">
        <v>1022</v>
      </c>
      <c r="G130" s="71" t="s">
        <v>116</v>
      </c>
      <c r="H130" s="178" t="s">
        <v>1248</v>
      </c>
      <c r="I130" s="77" t="s">
        <v>97</v>
      </c>
      <c r="J130" s="80">
        <v>44083</v>
      </c>
      <c r="K130" s="80" t="s">
        <v>33</v>
      </c>
      <c r="L130" s="327">
        <v>6210000</v>
      </c>
      <c r="M130" s="67" t="s">
        <v>20</v>
      </c>
    </row>
    <row r="131" spans="2:13" x14ac:dyDescent="0.3">
      <c r="B131" s="65">
        <v>44084</v>
      </c>
      <c r="C131" s="46" t="s">
        <v>1271</v>
      </c>
      <c r="D131" s="67" t="s">
        <v>31</v>
      </c>
      <c r="E131" s="46" t="s">
        <v>1020</v>
      </c>
      <c r="F131" s="46" t="s">
        <v>1022</v>
      </c>
      <c r="G131" s="71" t="s">
        <v>116</v>
      </c>
      <c r="H131" s="178" t="s">
        <v>1248</v>
      </c>
      <c r="I131" s="77" t="s">
        <v>97</v>
      </c>
      <c r="J131" s="80">
        <v>44083</v>
      </c>
      <c r="K131" s="80" t="s">
        <v>33</v>
      </c>
      <c r="L131" s="327">
        <v>6210000</v>
      </c>
      <c r="M131" s="67" t="s">
        <v>20</v>
      </c>
    </row>
    <row r="132" spans="2:13" x14ac:dyDescent="0.3">
      <c r="B132" s="65">
        <v>44084</v>
      </c>
      <c r="C132" s="46" t="s">
        <v>1272</v>
      </c>
      <c r="D132" s="67" t="s">
        <v>31</v>
      </c>
      <c r="E132" s="46" t="s">
        <v>1020</v>
      </c>
      <c r="F132" s="46" t="s">
        <v>1022</v>
      </c>
      <c r="G132" s="71" t="s">
        <v>116</v>
      </c>
      <c r="H132" s="178" t="s">
        <v>1248</v>
      </c>
      <c r="I132" s="77" t="s">
        <v>97</v>
      </c>
      <c r="J132" s="80">
        <v>44083</v>
      </c>
      <c r="K132" s="80" t="s">
        <v>33</v>
      </c>
      <c r="L132" s="327">
        <v>6210000</v>
      </c>
      <c r="M132" s="67" t="s">
        <v>20</v>
      </c>
    </row>
    <row r="133" spans="2:13" x14ac:dyDescent="0.3">
      <c r="B133" s="65">
        <v>44090</v>
      </c>
      <c r="C133" s="46" t="s">
        <v>1282</v>
      </c>
      <c r="D133" s="66" t="s">
        <v>31</v>
      </c>
      <c r="E133" s="46" t="s">
        <v>1020</v>
      </c>
      <c r="F133" s="66" t="s">
        <v>1283</v>
      </c>
      <c r="G133" s="65" t="s">
        <v>1284</v>
      </c>
      <c r="H133" s="178" t="s">
        <v>32</v>
      </c>
      <c r="I133" s="77" t="s">
        <v>97</v>
      </c>
      <c r="J133" s="80">
        <v>44094</v>
      </c>
      <c r="K133" s="80" t="s">
        <v>39</v>
      </c>
      <c r="L133" s="328">
        <v>7806366</v>
      </c>
      <c r="M133" s="67" t="s">
        <v>20</v>
      </c>
    </row>
    <row r="134" spans="2:13" x14ac:dyDescent="0.3">
      <c r="B134" s="65">
        <v>44090</v>
      </c>
      <c r="C134" s="46" t="s">
        <v>1285</v>
      </c>
      <c r="D134" s="66" t="s">
        <v>31</v>
      </c>
      <c r="E134" s="46" t="s">
        <v>1020</v>
      </c>
      <c r="F134" s="66" t="s">
        <v>1286</v>
      </c>
      <c r="G134" s="65" t="s">
        <v>1284</v>
      </c>
      <c r="H134" s="178" t="s">
        <v>32</v>
      </c>
      <c r="I134" s="67" t="s">
        <v>97</v>
      </c>
      <c r="J134" s="80">
        <v>44094</v>
      </c>
      <c r="K134" s="80" t="s">
        <v>39</v>
      </c>
      <c r="L134" s="327">
        <v>7806366</v>
      </c>
      <c r="M134" s="67" t="s">
        <v>20</v>
      </c>
    </row>
    <row r="135" spans="2:13" x14ac:dyDescent="0.3">
      <c r="B135" s="65">
        <v>44090</v>
      </c>
      <c r="C135" s="46" t="s">
        <v>1287</v>
      </c>
      <c r="D135" s="69" t="s">
        <v>31</v>
      </c>
      <c r="E135" s="69" t="s">
        <v>1020</v>
      </c>
      <c r="F135" s="46" t="s">
        <v>1283</v>
      </c>
      <c r="G135" s="71" t="s">
        <v>1284</v>
      </c>
      <c r="H135" s="178" t="s">
        <v>32</v>
      </c>
      <c r="I135" s="77" t="s">
        <v>97</v>
      </c>
      <c r="J135" s="80">
        <v>44094</v>
      </c>
      <c r="K135" s="80" t="s">
        <v>39</v>
      </c>
      <c r="L135" s="327">
        <v>7806366</v>
      </c>
      <c r="M135" s="67" t="s">
        <v>20</v>
      </c>
    </row>
    <row r="136" spans="2:13" x14ac:dyDescent="0.3">
      <c r="B136" s="65">
        <v>44090</v>
      </c>
      <c r="C136" s="46" t="s">
        <v>1288</v>
      </c>
      <c r="D136" s="66" t="s">
        <v>31</v>
      </c>
      <c r="E136" s="46" t="s">
        <v>1020</v>
      </c>
      <c r="F136" s="66" t="s">
        <v>1283</v>
      </c>
      <c r="G136" s="71" t="s">
        <v>1284</v>
      </c>
      <c r="H136" s="177" t="s">
        <v>32</v>
      </c>
      <c r="I136" s="76" t="s">
        <v>97</v>
      </c>
      <c r="J136" s="80">
        <v>44094</v>
      </c>
      <c r="K136" s="80" t="s">
        <v>39</v>
      </c>
      <c r="L136" s="327">
        <v>7806366</v>
      </c>
      <c r="M136" s="67" t="s">
        <v>20</v>
      </c>
    </row>
    <row r="137" spans="2:13" x14ac:dyDescent="0.3">
      <c r="B137" s="65">
        <v>44090</v>
      </c>
      <c r="C137" s="46" t="s">
        <v>1289</v>
      </c>
      <c r="D137" s="66" t="s">
        <v>31</v>
      </c>
      <c r="E137" s="46" t="s">
        <v>1020</v>
      </c>
      <c r="F137" s="66" t="s">
        <v>1283</v>
      </c>
      <c r="G137" s="71" t="s">
        <v>1284</v>
      </c>
      <c r="H137" s="177" t="s">
        <v>32</v>
      </c>
      <c r="I137" s="76" t="s">
        <v>97</v>
      </c>
      <c r="J137" s="80">
        <v>44094</v>
      </c>
      <c r="K137" s="80" t="s">
        <v>39</v>
      </c>
      <c r="L137" s="327">
        <v>7806366</v>
      </c>
      <c r="M137" s="67" t="s">
        <v>20</v>
      </c>
    </row>
    <row r="138" spans="2:13" x14ac:dyDescent="0.3">
      <c r="B138" s="65">
        <v>44090</v>
      </c>
      <c r="C138" s="46" t="s">
        <v>1290</v>
      </c>
      <c r="D138" s="66" t="s">
        <v>31</v>
      </c>
      <c r="E138" s="46" t="s">
        <v>1020</v>
      </c>
      <c r="F138" s="66" t="s">
        <v>1283</v>
      </c>
      <c r="G138" s="71" t="s">
        <v>1284</v>
      </c>
      <c r="H138" s="177" t="s">
        <v>32</v>
      </c>
      <c r="I138" s="76" t="s">
        <v>97</v>
      </c>
      <c r="J138" s="80">
        <v>44094</v>
      </c>
      <c r="K138" s="80" t="s">
        <v>39</v>
      </c>
      <c r="L138" s="80">
        <v>7806366</v>
      </c>
      <c r="M138" s="67" t="s">
        <v>20</v>
      </c>
    </row>
    <row r="139" spans="2:13" x14ac:dyDescent="0.3">
      <c r="B139" s="65">
        <v>44090</v>
      </c>
      <c r="C139" s="46" t="s">
        <v>1291</v>
      </c>
      <c r="D139" s="66" t="s">
        <v>31</v>
      </c>
      <c r="E139" s="46" t="s">
        <v>1020</v>
      </c>
      <c r="F139" s="66" t="s">
        <v>1286</v>
      </c>
      <c r="G139" s="65" t="s">
        <v>1284</v>
      </c>
      <c r="H139" s="178" t="s">
        <v>32</v>
      </c>
      <c r="I139" s="77" t="s">
        <v>97</v>
      </c>
      <c r="J139" s="80">
        <v>44094</v>
      </c>
      <c r="K139" s="80" t="s">
        <v>39</v>
      </c>
      <c r="L139" s="328">
        <v>7806366</v>
      </c>
      <c r="M139" s="67" t="s">
        <v>20</v>
      </c>
    </row>
    <row r="140" spans="2:13" x14ac:dyDescent="0.3">
      <c r="B140" s="65">
        <v>44090</v>
      </c>
      <c r="C140" s="46" t="s">
        <v>1292</v>
      </c>
      <c r="D140" s="66" t="s">
        <v>31</v>
      </c>
      <c r="E140" s="46" t="s">
        <v>1020</v>
      </c>
      <c r="F140" s="66" t="s">
        <v>1283</v>
      </c>
      <c r="G140" s="65" t="s">
        <v>1284</v>
      </c>
      <c r="H140" s="178" t="s">
        <v>32</v>
      </c>
      <c r="I140" s="77" t="s">
        <v>97</v>
      </c>
      <c r="J140" s="80">
        <v>44094</v>
      </c>
      <c r="K140" s="80" t="s">
        <v>39</v>
      </c>
      <c r="L140" s="327">
        <v>7806366</v>
      </c>
      <c r="M140" s="67" t="s">
        <v>20</v>
      </c>
    </row>
    <row r="141" spans="2:13" x14ac:dyDescent="0.3">
      <c r="B141" s="65">
        <v>44091</v>
      </c>
      <c r="C141" s="46" t="s">
        <v>1297</v>
      </c>
      <c r="D141" s="67" t="s">
        <v>31</v>
      </c>
      <c r="E141" s="46" t="s">
        <v>1020</v>
      </c>
      <c r="F141" s="46" t="s">
        <v>1286</v>
      </c>
      <c r="G141" s="71" t="s">
        <v>1284</v>
      </c>
      <c r="H141" s="71" t="s">
        <v>32</v>
      </c>
      <c r="I141" s="77" t="s">
        <v>97</v>
      </c>
      <c r="J141" s="80">
        <v>44096</v>
      </c>
      <c r="K141" s="80" t="s">
        <v>39</v>
      </c>
      <c r="L141" s="327">
        <v>7806366</v>
      </c>
      <c r="M141" s="67" t="s">
        <v>20</v>
      </c>
    </row>
    <row r="142" spans="2:13" x14ac:dyDescent="0.3">
      <c r="B142" s="65">
        <v>44091</v>
      </c>
      <c r="C142" s="46" t="s">
        <v>1298</v>
      </c>
      <c r="D142" s="67" t="s">
        <v>31</v>
      </c>
      <c r="E142" s="46" t="s">
        <v>1020</v>
      </c>
      <c r="F142" s="46" t="s">
        <v>1286</v>
      </c>
      <c r="G142" s="71" t="s">
        <v>1284</v>
      </c>
      <c r="H142" s="71" t="s">
        <v>32</v>
      </c>
      <c r="I142" s="77" t="s">
        <v>97</v>
      </c>
      <c r="J142" s="80">
        <v>44094</v>
      </c>
      <c r="K142" s="80" t="s">
        <v>39</v>
      </c>
      <c r="L142" s="327">
        <v>7806366</v>
      </c>
      <c r="M142" s="67" t="s">
        <v>20</v>
      </c>
    </row>
    <row r="143" spans="2:13" x14ac:dyDescent="0.3">
      <c r="B143" s="65">
        <v>44096</v>
      </c>
      <c r="C143" s="46" t="s">
        <v>1301</v>
      </c>
      <c r="D143" s="66" t="s">
        <v>31</v>
      </c>
      <c r="E143" s="46" t="s">
        <v>1020</v>
      </c>
      <c r="F143" s="66" t="s">
        <v>1286</v>
      </c>
      <c r="G143" s="65" t="s">
        <v>116</v>
      </c>
      <c r="H143" s="178" t="s">
        <v>38</v>
      </c>
      <c r="I143" s="77" t="s">
        <v>97</v>
      </c>
      <c r="J143" s="80">
        <v>44094</v>
      </c>
      <c r="K143" s="80" t="s">
        <v>39</v>
      </c>
      <c r="L143" s="328">
        <v>6824985</v>
      </c>
      <c r="M143" s="67" t="s">
        <v>20</v>
      </c>
    </row>
    <row r="144" spans="2:13" x14ac:dyDescent="0.3">
      <c r="B144" s="65">
        <v>44096</v>
      </c>
      <c r="C144" s="46" t="s">
        <v>1302</v>
      </c>
      <c r="D144" s="66" t="s">
        <v>31</v>
      </c>
      <c r="E144" s="46" t="s">
        <v>1020</v>
      </c>
      <c r="F144" s="66" t="s">
        <v>1286</v>
      </c>
      <c r="G144" s="65" t="s">
        <v>116</v>
      </c>
      <c r="H144" s="178" t="s">
        <v>38</v>
      </c>
      <c r="I144" s="77" t="s">
        <v>97</v>
      </c>
      <c r="J144" s="80">
        <v>44094</v>
      </c>
      <c r="K144" s="80" t="s">
        <v>39</v>
      </c>
      <c r="L144" s="328">
        <v>6824985</v>
      </c>
      <c r="M144" s="67" t="s">
        <v>20</v>
      </c>
    </row>
    <row r="145" spans="2:13" x14ac:dyDescent="0.3">
      <c r="B145" s="65">
        <v>44096</v>
      </c>
      <c r="C145" s="46" t="s">
        <v>1303</v>
      </c>
      <c r="D145" s="66" t="s">
        <v>31</v>
      </c>
      <c r="E145" s="46" t="s">
        <v>1020</v>
      </c>
      <c r="F145" s="66" t="s">
        <v>1286</v>
      </c>
      <c r="G145" s="65" t="s">
        <v>116</v>
      </c>
      <c r="H145" s="178" t="s">
        <v>38</v>
      </c>
      <c r="I145" s="77" t="s">
        <v>97</v>
      </c>
      <c r="J145" s="80">
        <v>44099</v>
      </c>
      <c r="K145" s="80" t="s">
        <v>39</v>
      </c>
      <c r="L145" s="328">
        <v>4765600</v>
      </c>
      <c r="M145" s="67" t="s">
        <v>20</v>
      </c>
    </row>
    <row r="146" spans="2:13" x14ac:dyDescent="0.3">
      <c r="B146" s="65">
        <v>44096</v>
      </c>
      <c r="C146" s="46" t="s">
        <v>1304</v>
      </c>
      <c r="D146" s="66" t="s">
        <v>31</v>
      </c>
      <c r="E146" s="46" t="s">
        <v>1020</v>
      </c>
      <c r="F146" s="66" t="s">
        <v>1286</v>
      </c>
      <c r="G146" s="65" t="s">
        <v>116</v>
      </c>
      <c r="H146" s="178" t="s">
        <v>32</v>
      </c>
      <c r="I146" s="77" t="s">
        <v>97</v>
      </c>
      <c r="J146" s="80">
        <v>44104</v>
      </c>
      <c r="K146" s="80" t="s">
        <v>39</v>
      </c>
      <c r="L146" s="328">
        <v>4765000</v>
      </c>
      <c r="M146" s="67" t="s">
        <v>20</v>
      </c>
    </row>
    <row r="147" spans="2:13" x14ac:dyDescent="0.3">
      <c r="B147" s="65">
        <v>44096</v>
      </c>
      <c r="C147" s="46" t="s">
        <v>1305</v>
      </c>
      <c r="D147" s="66" t="s">
        <v>31</v>
      </c>
      <c r="E147" s="46" t="s">
        <v>1020</v>
      </c>
      <c r="F147" s="66" t="s">
        <v>1286</v>
      </c>
      <c r="G147" s="71" t="s">
        <v>116</v>
      </c>
      <c r="H147" s="177" t="s">
        <v>32</v>
      </c>
      <c r="I147" s="76" t="s">
        <v>97</v>
      </c>
      <c r="J147" s="80">
        <v>44104</v>
      </c>
      <c r="K147" s="80" t="s">
        <v>39</v>
      </c>
      <c r="L147" s="80">
        <v>4765000</v>
      </c>
      <c r="M147" s="67" t="s">
        <v>20</v>
      </c>
    </row>
    <row r="148" spans="2:13" x14ac:dyDescent="0.3">
      <c r="B148" s="65">
        <v>44096</v>
      </c>
      <c r="C148" s="46" t="s">
        <v>1306</v>
      </c>
      <c r="D148" s="66" t="s">
        <v>31</v>
      </c>
      <c r="E148" s="46" t="s">
        <v>1020</v>
      </c>
      <c r="F148" s="66" t="s">
        <v>1286</v>
      </c>
      <c r="G148" s="71" t="s">
        <v>116</v>
      </c>
      <c r="H148" s="177" t="s">
        <v>32</v>
      </c>
      <c r="I148" s="76" t="s">
        <v>97</v>
      </c>
      <c r="J148" s="80">
        <v>44104</v>
      </c>
      <c r="K148" s="80" t="s">
        <v>39</v>
      </c>
      <c r="L148" s="80">
        <v>4765000</v>
      </c>
      <c r="M148" s="67" t="s">
        <v>20</v>
      </c>
    </row>
    <row r="149" spans="2:13" x14ac:dyDescent="0.3">
      <c r="B149" s="65">
        <v>44096</v>
      </c>
      <c r="C149" s="46" t="s">
        <v>1307</v>
      </c>
      <c r="D149" s="66" t="s">
        <v>31</v>
      </c>
      <c r="E149" s="46" t="s">
        <v>1020</v>
      </c>
      <c r="F149" s="66" t="s">
        <v>1286</v>
      </c>
      <c r="G149" s="71" t="s">
        <v>116</v>
      </c>
      <c r="H149" s="177" t="s">
        <v>32</v>
      </c>
      <c r="I149" s="76" t="s">
        <v>97</v>
      </c>
      <c r="J149" s="80">
        <v>44104</v>
      </c>
      <c r="K149" s="80" t="s">
        <v>39</v>
      </c>
      <c r="L149" s="80">
        <v>4765000</v>
      </c>
      <c r="M149" s="67" t="s">
        <v>20</v>
      </c>
    </row>
    <row r="150" spans="2:13" x14ac:dyDescent="0.3">
      <c r="B150" s="65">
        <v>44097</v>
      </c>
      <c r="C150" s="46" t="s">
        <v>1312</v>
      </c>
      <c r="D150" s="67" t="s">
        <v>31</v>
      </c>
      <c r="E150" s="69" t="s">
        <v>1020</v>
      </c>
      <c r="F150" s="46" t="s">
        <v>1286</v>
      </c>
      <c r="G150" s="71" t="s">
        <v>116</v>
      </c>
      <c r="H150" s="71" t="s">
        <v>32</v>
      </c>
      <c r="I150" s="77" t="s">
        <v>97</v>
      </c>
      <c r="J150" s="80">
        <v>44104</v>
      </c>
      <c r="K150" s="80" t="s">
        <v>39</v>
      </c>
      <c r="L150" s="327">
        <v>5180000</v>
      </c>
      <c r="M150" s="67" t="s">
        <v>20</v>
      </c>
    </row>
    <row r="151" spans="2:13" x14ac:dyDescent="0.3">
      <c r="B151" s="70">
        <v>44097</v>
      </c>
      <c r="C151" s="72" t="s">
        <v>1313</v>
      </c>
      <c r="D151" s="67" t="s">
        <v>31</v>
      </c>
      <c r="E151" s="72" t="s">
        <v>1020</v>
      </c>
      <c r="F151" s="72" t="s">
        <v>1286</v>
      </c>
      <c r="G151" s="71" t="s">
        <v>116</v>
      </c>
      <c r="H151" s="71" t="s">
        <v>32</v>
      </c>
      <c r="I151" s="78" t="s">
        <v>97</v>
      </c>
      <c r="J151" s="82">
        <v>44104</v>
      </c>
      <c r="K151" s="82" t="s">
        <v>39</v>
      </c>
      <c r="L151" s="327">
        <v>5180000</v>
      </c>
      <c r="M151" s="67" t="s">
        <v>20</v>
      </c>
    </row>
    <row r="152" spans="2:13" x14ac:dyDescent="0.3">
      <c r="B152" s="65">
        <v>44097</v>
      </c>
      <c r="C152" s="72" t="s">
        <v>1314</v>
      </c>
      <c r="D152" s="67" t="s">
        <v>31</v>
      </c>
      <c r="E152" s="46" t="s">
        <v>1020</v>
      </c>
      <c r="F152" s="72" t="s">
        <v>1286</v>
      </c>
      <c r="G152" s="71" t="s">
        <v>116</v>
      </c>
      <c r="H152" s="71" t="s">
        <v>32</v>
      </c>
      <c r="I152" s="78" t="s">
        <v>97</v>
      </c>
      <c r="J152" s="82">
        <v>44104</v>
      </c>
      <c r="K152" s="82" t="s">
        <v>39</v>
      </c>
      <c r="L152" s="327">
        <v>5180000</v>
      </c>
      <c r="M152" s="67" t="s">
        <v>20</v>
      </c>
    </row>
    <row r="153" spans="2:13" x14ac:dyDescent="0.3">
      <c r="B153" s="65">
        <v>44097</v>
      </c>
      <c r="C153" s="46" t="s">
        <v>1315</v>
      </c>
      <c r="D153" s="67" t="s">
        <v>31</v>
      </c>
      <c r="E153" s="46" t="s">
        <v>1020</v>
      </c>
      <c r="F153" s="46" t="s">
        <v>1286</v>
      </c>
      <c r="G153" s="71" t="s">
        <v>116</v>
      </c>
      <c r="H153" s="71" t="s">
        <v>32</v>
      </c>
      <c r="I153" s="77" t="s">
        <v>97</v>
      </c>
      <c r="J153" s="80">
        <v>44104</v>
      </c>
      <c r="K153" s="80" t="s">
        <v>39</v>
      </c>
      <c r="L153" s="327">
        <v>5180000</v>
      </c>
      <c r="M153" s="67" t="s">
        <v>20</v>
      </c>
    </row>
    <row r="154" spans="2:13" x14ac:dyDescent="0.3">
      <c r="B154" s="65">
        <v>44098</v>
      </c>
      <c r="C154" s="46" t="s">
        <v>1316</v>
      </c>
      <c r="D154" s="67" t="s">
        <v>31</v>
      </c>
      <c r="E154" s="67" t="s">
        <v>1020</v>
      </c>
      <c r="F154" s="46" t="s">
        <v>1283</v>
      </c>
      <c r="G154" s="71" t="s">
        <v>116</v>
      </c>
      <c r="H154" s="71" t="s">
        <v>32</v>
      </c>
      <c r="I154" s="77" t="s">
        <v>97</v>
      </c>
      <c r="J154" s="80">
        <v>44105</v>
      </c>
      <c r="K154" s="80" t="s">
        <v>39</v>
      </c>
      <c r="L154" s="327">
        <v>4417408</v>
      </c>
      <c r="M154" s="67" t="s">
        <v>20</v>
      </c>
    </row>
    <row r="155" spans="2:13" x14ac:dyDescent="0.3">
      <c r="B155" s="65">
        <v>44102</v>
      </c>
      <c r="C155" s="46" t="s">
        <v>1285</v>
      </c>
      <c r="D155" s="69" t="s">
        <v>31</v>
      </c>
      <c r="E155" s="69" t="s">
        <v>1020</v>
      </c>
      <c r="F155" s="46" t="s">
        <v>1286</v>
      </c>
      <c r="G155" s="71" t="s">
        <v>1319</v>
      </c>
      <c r="H155" s="178" t="s">
        <v>38</v>
      </c>
      <c r="I155" s="77" t="s">
        <v>97</v>
      </c>
      <c r="J155" s="80">
        <v>44106</v>
      </c>
      <c r="K155" s="80" t="s">
        <v>33</v>
      </c>
      <c r="L155" s="327">
        <v>4420237</v>
      </c>
      <c r="M155" s="67" t="s">
        <v>20</v>
      </c>
    </row>
    <row r="156" spans="2:13" x14ac:dyDescent="0.3">
      <c r="B156" s="65">
        <v>44102</v>
      </c>
      <c r="C156" s="46" t="s">
        <v>1320</v>
      </c>
      <c r="D156" s="67" t="s">
        <v>31</v>
      </c>
      <c r="E156" s="67" t="s">
        <v>1020</v>
      </c>
      <c r="F156" s="46" t="s">
        <v>1286</v>
      </c>
      <c r="G156" s="71" t="s">
        <v>116</v>
      </c>
      <c r="H156" s="71" t="s">
        <v>32</v>
      </c>
      <c r="I156" s="77" t="s">
        <v>97</v>
      </c>
      <c r="J156" s="80">
        <v>44106</v>
      </c>
      <c r="K156" s="80" t="s">
        <v>33</v>
      </c>
      <c r="L156" s="327">
        <v>4722259</v>
      </c>
      <c r="M156" s="67" t="s">
        <v>20</v>
      </c>
    </row>
    <row r="157" spans="2:13" x14ac:dyDescent="0.3">
      <c r="B157" s="65">
        <v>44102</v>
      </c>
      <c r="C157" s="46" t="s">
        <v>1321</v>
      </c>
      <c r="D157" s="67" t="s">
        <v>31</v>
      </c>
      <c r="E157" s="69" t="s">
        <v>1020</v>
      </c>
      <c r="F157" s="46" t="s">
        <v>1286</v>
      </c>
      <c r="G157" s="71" t="s">
        <v>116</v>
      </c>
      <c r="H157" s="71" t="s">
        <v>32</v>
      </c>
      <c r="I157" s="77" t="s">
        <v>97</v>
      </c>
      <c r="J157" s="80">
        <v>44106</v>
      </c>
      <c r="K157" s="80" t="s">
        <v>33</v>
      </c>
      <c r="L157" s="327">
        <v>4722259</v>
      </c>
      <c r="M157" s="67" t="s">
        <v>20</v>
      </c>
    </row>
    <row r="158" spans="2:13" x14ac:dyDescent="0.3">
      <c r="B158" s="65">
        <v>44102</v>
      </c>
      <c r="C158" s="72" t="s">
        <v>1322</v>
      </c>
      <c r="D158" s="67" t="s">
        <v>31</v>
      </c>
      <c r="E158" s="72" t="s">
        <v>1020</v>
      </c>
      <c r="F158" s="72" t="s">
        <v>1286</v>
      </c>
      <c r="G158" s="71" t="s">
        <v>116</v>
      </c>
      <c r="H158" s="71" t="s">
        <v>32</v>
      </c>
      <c r="I158" s="78" t="s">
        <v>97</v>
      </c>
      <c r="J158" s="82">
        <v>44122</v>
      </c>
      <c r="K158" s="82" t="s">
        <v>33</v>
      </c>
      <c r="L158" s="327">
        <v>4722259</v>
      </c>
      <c r="M158" s="67" t="s">
        <v>20</v>
      </c>
    </row>
    <row r="159" spans="2:13" x14ac:dyDescent="0.3">
      <c r="B159" s="65">
        <v>44102</v>
      </c>
      <c r="C159" s="72" t="s">
        <v>1323</v>
      </c>
      <c r="D159" s="67" t="s">
        <v>31</v>
      </c>
      <c r="E159" s="69" t="s">
        <v>1020</v>
      </c>
      <c r="F159" s="72" t="s">
        <v>1286</v>
      </c>
      <c r="G159" s="71" t="s">
        <v>116</v>
      </c>
      <c r="H159" s="71" t="s">
        <v>37</v>
      </c>
      <c r="I159" s="78" t="s">
        <v>97</v>
      </c>
      <c r="J159" s="82" t="s">
        <v>1324</v>
      </c>
      <c r="K159" s="82" t="s">
        <v>33</v>
      </c>
      <c r="L159" s="327">
        <v>7839205</v>
      </c>
      <c r="M159" s="67" t="s">
        <v>20</v>
      </c>
    </row>
    <row r="160" spans="2:13" x14ac:dyDescent="0.3">
      <c r="B160" s="65">
        <v>44102</v>
      </c>
      <c r="C160" s="72" t="s">
        <v>1327</v>
      </c>
      <c r="D160" s="67" t="s">
        <v>31</v>
      </c>
      <c r="E160" s="69" t="s">
        <v>1020</v>
      </c>
      <c r="F160" s="72" t="s">
        <v>1328</v>
      </c>
      <c r="G160" s="71" t="s">
        <v>116</v>
      </c>
      <c r="H160" s="71" t="s">
        <v>32</v>
      </c>
      <c r="I160" s="78" t="s">
        <v>97</v>
      </c>
      <c r="J160" s="82">
        <v>44097</v>
      </c>
      <c r="K160" s="82" t="s">
        <v>33</v>
      </c>
      <c r="L160" s="327">
        <v>4756400</v>
      </c>
      <c r="M160" s="67" t="s">
        <v>20</v>
      </c>
    </row>
    <row r="161" spans="2:13" x14ac:dyDescent="0.3">
      <c r="B161" s="65">
        <v>44102</v>
      </c>
      <c r="C161" s="72" t="s">
        <v>1329</v>
      </c>
      <c r="D161" s="67" t="s">
        <v>31</v>
      </c>
      <c r="E161" s="69" t="s">
        <v>1020</v>
      </c>
      <c r="F161" s="69" t="s">
        <v>1328</v>
      </c>
      <c r="G161" s="71" t="s">
        <v>116</v>
      </c>
      <c r="H161" s="71" t="s">
        <v>32</v>
      </c>
      <c r="I161" s="78" t="s">
        <v>97</v>
      </c>
      <c r="J161" s="82">
        <v>44097</v>
      </c>
      <c r="K161" s="82" t="s">
        <v>33</v>
      </c>
      <c r="L161" s="327">
        <v>4756400</v>
      </c>
      <c r="M161" s="67" t="s">
        <v>20</v>
      </c>
    </row>
    <row r="162" spans="2:13" x14ac:dyDescent="0.3">
      <c r="B162" s="65">
        <v>44102</v>
      </c>
      <c r="C162" s="72" t="s">
        <v>1330</v>
      </c>
      <c r="D162" s="67" t="s">
        <v>31</v>
      </c>
      <c r="E162" s="46" t="s">
        <v>1020</v>
      </c>
      <c r="F162" s="72" t="s">
        <v>1328</v>
      </c>
      <c r="G162" s="71" t="s">
        <v>116</v>
      </c>
      <c r="H162" s="71" t="s">
        <v>32</v>
      </c>
      <c r="I162" s="78" t="s">
        <v>97</v>
      </c>
      <c r="J162" s="82">
        <v>44097</v>
      </c>
      <c r="K162" s="82" t="s">
        <v>33</v>
      </c>
      <c r="L162" s="327">
        <v>4756400</v>
      </c>
      <c r="M162" s="67" t="s">
        <v>20</v>
      </c>
    </row>
    <row r="163" spans="2:13" x14ac:dyDescent="0.3">
      <c r="B163" s="65">
        <v>44102</v>
      </c>
      <c r="C163" s="72" t="s">
        <v>1331</v>
      </c>
      <c r="D163" s="67" t="s">
        <v>31</v>
      </c>
      <c r="E163" s="69" t="s">
        <v>1020</v>
      </c>
      <c r="F163" s="72" t="s">
        <v>1328</v>
      </c>
      <c r="G163" s="71" t="s">
        <v>116</v>
      </c>
      <c r="H163" s="71" t="s">
        <v>32</v>
      </c>
      <c r="I163" s="78" t="s">
        <v>97</v>
      </c>
      <c r="J163" s="82">
        <v>44097</v>
      </c>
      <c r="K163" s="82" t="s">
        <v>33</v>
      </c>
      <c r="L163" s="327">
        <v>4756400</v>
      </c>
      <c r="M163" s="67" t="s">
        <v>20</v>
      </c>
    </row>
    <row r="164" spans="2:13" x14ac:dyDescent="0.3">
      <c r="B164" s="65">
        <v>44102</v>
      </c>
      <c r="C164" s="72" t="s">
        <v>1332</v>
      </c>
      <c r="D164" s="67" t="s">
        <v>31</v>
      </c>
      <c r="E164" s="69" t="s">
        <v>1020</v>
      </c>
      <c r="F164" s="69" t="s">
        <v>1328</v>
      </c>
      <c r="G164" s="71" t="s">
        <v>116</v>
      </c>
      <c r="H164" s="71" t="s">
        <v>32</v>
      </c>
      <c r="I164" s="78" t="s">
        <v>97</v>
      </c>
      <c r="J164" s="82">
        <v>44097</v>
      </c>
      <c r="K164" s="82" t="s">
        <v>33</v>
      </c>
      <c r="L164" s="327">
        <v>4756400</v>
      </c>
      <c r="M164" s="67" t="s">
        <v>20</v>
      </c>
    </row>
    <row r="165" spans="2:13" x14ac:dyDescent="0.3">
      <c r="B165" s="65">
        <v>44089</v>
      </c>
      <c r="C165" s="72" t="s">
        <v>1279</v>
      </c>
      <c r="D165" s="67" t="s">
        <v>31</v>
      </c>
      <c r="E165" s="46" t="s">
        <v>1142</v>
      </c>
      <c r="F165" s="72" t="s">
        <v>1280</v>
      </c>
      <c r="G165" s="71" t="s">
        <v>116</v>
      </c>
      <c r="H165" s="71" t="s">
        <v>37</v>
      </c>
      <c r="I165" s="78" t="s">
        <v>97</v>
      </c>
      <c r="J165" s="82" t="s">
        <v>1281</v>
      </c>
      <c r="K165" s="82" t="s">
        <v>39</v>
      </c>
      <c r="L165" s="327">
        <v>4208407</v>
      </c>
      <c r="M165" s="67" t="s">
        <v>19</v>
      </c>
    </row>
    <row r="166" spans="2:13" x14ac:dyDescent="0.3">
      <c r="B166" s="65">
        <v>44091</v>
      </c>
      <c r="C166" s="46" t="s">
        <v>1295</v>
      </c>
      <c r="D166" s="67" t="s">
        <v>31</v>
      </c>
      <c r="E166" s="46" t="s">
        <v>1142</v>
      </c>
      <c r="F166" s="46" t="s">
        <v>196</v>
      </c>
      <c r="G166" s="71" t="s">
        <v>116</v>
      </c>
      <c r="H166" s="178" t="s">
        <v>35</v>
      </c>
      <c r="I166" s="77" t="s">
        <v>97</v>
      </c>
      <c r="J166" s="80" t="s">
        <v>1296</v>
      </c>
      <c r="K166" s="80" t="s">
        <v>39</v>
      </c>
      <c r="L166" s="327">
        <v>23468476</v>
      </c>
      <c r="M166" s="67" t="s">
        <v>19</v>
      </c>
    </row>
    <row r="167" spans="2:13" x14ac:dyDescent="0.3">
      <c r="B167" s="65">
        <v>44090</v>
      </c>
      <c r="C167" s="46" t="s">
        <v>1293</v>
      </c>
      <c r="D167" s="67" t="s">
        <v>31</v>
      </c>
      <c r="E167" s="46" t="s">
        <v>165</v>
      </c>
      <c r="F167" s="46" t="s">
        <v>1294</v>
      </c>
      <c r="G167" s="71" t="s">
        <v>1284</v>
      </c>
      <c r="H167" s="71" t="s">
        <v>38</v>
      </c>
      <c r="I167" s="77" t="s">
        <v>97</v>
      </c>
      <c r="J167" s="80">
        <v>44101</v>
      </c>
      <c r="K167" s="80" t="s">
        <v>39</v>
      </c>
      <c r="L167" s="327">
        <v>4812839</v>
      </c>
      <c r="M167" s="67" t="s">
        <v>19</v>
      </c>
    </row>
    <row r="168" spans="2:13" x14ac:dyDescent="0.3">
      <c r="B168" s="65">
        <v>44084</v>
      </c>
      <c r="C168" s="46" t="s">
        <v>1239</v>
      </c>
      <c r="D168" s="67" t="s">
        <v>31</v>
      </c>
      <c r="E168" s="46" t="s">
        <v>1240</v>
      </c>
      <c r="F168" s="46" t="s">
        <v>1241</v>
      </c>
      <c r="G168" s="71" t="s">
        <v>116</v>
      </c>
      <c r="H168" s="178" t="s">
        <v>1242</v>
      </c>
      <c r="I168" s="77" t="s">
        <v>62</v>
      </c>
      <c r="J168" s="80">
        <v>44094</v>
      </c>
      <c r="K168" s="80" t="s">
        <v>1161</v>
      </c>
      <c r="L168" s="327">
        <v>1597512</v>
      </c>
      <c r="M168" s="67" t="s">
        <v>20</v>
      </c>
    </row>
    <row r="169" spans="2:13" x14ac:dyDescent="0.3">
      <c r="B169" s="65">
        <v>44084</v>
      </c>
      <c r="C169" s="46" t="s">
        <v>1239</v>
      </c>
      <c r="D169" s="67" t="s">
        <v>31</v>
      </c>
      <c r="E169" s="46" t="s">
        <v>1240</v>
      </c>
      <c r="F169" s="46" t="s">
        <v>1241</v>
      </c>
      <c r="G169" s="71" t="s">
        <v>116</v>
      </c>
      <c r="H169" s="178" t="s">
        <v>1243</v>
      </c>
      <c r="I169" s="77" t="s">
        <v>62</v>
      </c>
      <c r="J169" s="80">
        <v>44091</v>
      </c>
      <c r="K169" s="80" t="s">
        <v>1161</v>
      </c>
      <c r="L169" s="327">
        <v>5054933</v>
      </c>
      <c r="M169" s="67" t="s">
        <v>20</v>
      </c>
    </row>
    <row r="170" spans="2:13" x14ac:dyDescent="0.3">
      <c r="B170" s="65">
        <v>44084</v>
      </c>
      <c r="C170" s="46" t="s">
        <v>1244</v>
      </c>
      <c r="D170" s="67" t="s">
        <v>31</v>
      </c>
      <c r="E170" s="46" t="s">
        <v>1240</v>
      </c>
      <c r="F170" s="46" t="s">
        <v>1241</v>
      </c>
      <c r="G170" s="71" t="s">
        <v>116</v>
      </c>
      <c r="H170" s="178" t="s">
        <v>1245</v>
      </c>
      <c r="I170" s="77" t="s">
        <v>62</v>
      </c>
      <c r="J170" s="80">
        <v>44094</v>
      </c>
      <c r="K170" s="80" t="s">
        <v>39</v>
      </c>
      <c r="L170" s="327">
        <v>6910123</v>
      </c>
      <c r="M170" s="67" t="s">
        <v>20</v>
      </c>
    </row>
    <row r="171" spans="2:13" x14ac:dyDescent="0.3">
      <c r="B171" s="65">
        <v>44084</v>
      </c>
      <c r="C171" s="46" t="s">
        <v>1244</v>
      </c>
      <c r="D171" s="67" t="s">
        <v>31</v>
      </c>
      <c r="E171" s="46" t="s">
        <v>1240</v>
      </c>
      <c r="F171" s="46" t="s">
        <v>1241</v>
      </c>
      <c r="G171" s="71" t="s">
        <v>116</v>
      </c>
      <c r="H171" s="178" t="s">
        <v>1246</v>
      </c>
      <c r="I171" s="77" t="s">
        <v>62</v>
      </c>
      <c r="J171" s="80">
        <v>44091</v>
      </c>
      <c r="K171" s="80" t="s">
        <v>33</v>
      </c>
      <c r="L171" s="327">
        <v>5694632</v>
      </c>
      <c r="M171" s="67" t="s">
        <v>20</v>
      </c>
    </row>
    <row r="172" spans="2:13" x14ac:dyDescent="0.3">
      <c r="B172" s="65">
        <v>44093</v>
      </c>
      <c r="C172" s="46" t="s">
        <v>1244</v>
      </c>
      <c r="D172" s="67" t="s">
        <v>31</v>
      </c>
      <c r="E172" s="46" t="s">
        <v>1240</v>
      </c>
      <c r="F172" s="46" t="s">
        <v>1241</v>
      </c>
      <c r="G172" s="71" t="s">
        <v>614</v>
      </c>
      <c r="H172" s="71" t="s">
        <v>1245</v>
      </c>
      <c r="I172" s="77" t="s">
        <v>62</v>
      </c>
      <c r="J172" s="80">
        <v>44094</v>
      </c>
      <c r="K172" s="80" t="s">
        <v>39</v>
      </c>
      <c r="L172" s="327">
        <v>4405136</v>
      </c>
      <c r="M172" s="67" t="s">
        <v>20</v>
      </c>
    </row>
    <row r="173" spans="2:13" x14ac:dyDescent="0.3">
      <c r="B173" s="65">
        <v>44076</v>
      </c>
      <c r="C173" s="46" t="s">
        <v>1146</v>
      </c>
      <c r="D173" s="67" t="s">
        <v>31</v>
      </c>
      <c r="E173" s="46" t="s">
        <v>1142</v>
      </c>
      <c r="F173" s="46" t="s">
        <v>980</v>
      </c>
      <c r="G173" s="71" t="s">
        <v>304</v>
      </c>
      <c r="H173" s="178" t="s">
        <v>32</v>
      </c>
      <c r="I173" s="77" t="s">
        <v>97</v>
      </c>
      <c r="J173" s="80">
        <v>44076</v>
      </c>
      <c r="K173" s="80" t="s">
        <v>33</v>
      </c>
      <c r="L173" s="327">
        <f>600*10350</f>
        <v>6210000</v>
      </c>
      <c r="M173" s="67" t="s">
        <v>20</v>
      </c>
    </row>
    <row r="174" spans="2:13" ht="18" x14ac:dyDescent="0.35">
      <c r="L174" s="329">
        <f>SUM(L2:L173)</f>
        <v>1125236310.5799999</v>
      </c>
    </row>
  </sheetData>
  <autoFilter ref="B1:M174">
    <sortState ref="B2:M174">
      <sortCondition ref="E1:E173"/>
    </sortState>
  </autoFilter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5" tint="0.59999389629810485"/>
    <pageSetUpPr autoPageBreaks="0" fitToPage="1"/>
  </sheetPr>
  <dimension ref="A1:M268"/>
  <sheetViews>
    <sheetView showGridLines="0" topLeftCell="D1" workbookViewId="0">
      <selection activeCell="D136" sqref="A136:XFD167"/>
    </sheetView>
  </sheetViews>
  <sheetFormatPr defaultColWidth="9.109375" defaultRowHeight="12" x14ac:dyDescent="0.3"/>
  <cols>
    <col min="1" max="1" width="5" style="146" customWidth="1"/>
    <col min="2" max="2" width="12.33203125" style="146" customWidth="1"/>
    <col min="3" max="3" width="41.33203125" style="146" customWidth="1"/>
    <col min="4" max="4" width="15" style="148" customWidth="1"/>
    <col min="5" max="5" width="28.6640625" style="146" customWidth="1"/>
    <col min="6" max="6" width="28" style="146" bestFit="1" customWidth="1"/>
    <col min="7" max="7" width="18.88671875" style="181" customWidth="1"/>
    <col min="8" max="8" width="27.5546875" style="181" customWidth="1"/>
    <col min="9" max="9" width="31.44140625" style="146" bestFit="1" customWidth="1"/>
    <col min="10" max="10" width="18.88671875" style="334" customWidth="1"/>
    <col min="11" max="11" width="10" style="148" customWidth="1"/>
    <col min="12" max="12" width="20.5546875" style="149" customWidth="1"/>
    <col min="13" max="13" width="20.5546875" style="146" customWidth="1"/>
    <col min="14" max="16384" width="9.109375" style="146"/>
  </cols>
  <sheetData>
    <row r="1" spans="1:13" x14ac:dyDescent="0.3">
      <c r="A1" s="11"/>
      <c r="B1" s="11"/>
      <c r="C1" s="45"/>
      <c r="D1" s="11"/>
      <c r="E1" s="11"/>
      <c r="F1" s="11"/>
      <c r="G1" s="174"/>
      <c r="H1" s="174"/>
      <c r="I1" s="41"/>
      <c r="J1" s="309"/>
      <c r="K1" s="42"/>
      <c r="L1" s="307"/>
      <c r="M1" s="42"/>
    </row>
    <row r="2" spans="1:13" x14ac:dyDescent="0.3">
      <c r="B2" s="87">
        <v>44118</v>
      </c>
      <c r="C2" s="132" t="s">
        <v>1382</v>
      </c>
      <c r="D2" s="16" t="s">
        <v>31</v>
      </c>
      <c r="E2" s="86" t="s">
        <v>1142</v>
      </c>
      <c r="F2" s="85" t="s">
        <v>1379</v>
      </c>
      <c r="G2" s="87" t="s">
        <v>1380</v>
      </c>
      <c r="H2" s="180" t="s">
        <v>475</v>
      </c>
      <c r="I2" s="131" t="s">
        <v>51</v>
      </c>
      <c r="J2" s="333">
        <v>44128</v>
      </c>
      <c r="K2" s="15" t="s">
        <v>744</v>
      </c>
      <c r="L2" s="147">
        <v>9125178</v>
      </c>
      <c r="M2" s="15" t="s">
        <v>19</v>
      </c>
    </row>
    <row r="3" spans="1:13" x14ac:dyDescent="0.3">
      <c r="B3" s="87">
        <v>44118</v>
      </c>
      <c r="C3" s="132" t="s">
        <v>1383</v>
      </c>
      <c r="D3" s="16" t="s">
        <v>31</v>
      </c>
      <c r="E3" s="86" t="s">
        <v>1142</v>
      </c>
      <c r="F3" s="85" t="s">
        <v>1379</v>
      </c>
      <c r="G3" s="87" t="s">
        <v>1380</v>
      </c>
      <c r="H3" s="180" t="s">
        <v>475</v>
      </c>
      <c r="I3" s="131" t="s">
        <v>51</v>
      </c>
      <c r="J3" s="333">
        <v>44128</v>
      </c>
      <c r="K3" s="15" t="s">
        <v>744</v>
      </c>
      <c r="L3" s="147">
        <v>9125178</v>
      </c>
      <c r="M3" s="15" t="s">
        <v>19</v>
      </c>
    </row>
    <row r="4" spans="1:13" x14ac:dyDescent="0.3">
      <c r="B4" s="87">
        <v>44118</v>
      </c>
      <c r="C4" s="153" t="s">
        <v>1382</v>
      </c>
      <c r="D4" s="15" t="s">
        <v>31</v>
      </c>
      <c r="E4" s="86" t="s">
        <v>1142</v>
      </c>
      <c r="F4" s="15" t="s">
        <v>1379</v>
      </c>
      <c r="G4" s="131" t="s">
        <v>1380</v>
      </c>
      <c r="H4" s="180" t="s">
        <v>1311</v>
      </c>
      <c r="I4" s="131" t="s">
        <v>51</v>
      </c>
      <c r="J4" s="331">
        <v>44123</v>
      </c>
      <c r="K4" s="15" t="s">
        <v>33</v>
      </c>
      <c r="L4" s="147">
        <v>3339920</v>
      </c>
      <c r="M4" s="15" t="s">
        <v>19</v>
      </c>
    </row>
    <row r="5" spans="1:13" x14ac:dyDescent="0.3">
      <c r="B5" s="87">
        <v>44118</v>
      </c>
      <c r="C5" s="153" t="s">
        <v>1383</v>
      </c>
      <c r="D5" s="15" t="s">
        <v>31</v>
      </c>
      <c r="E5" s="86" t="s">
        <v>1142</v>
      </c>
      <c r="F5" s="15" t="s">
        <v>1379</v>
      </c>
      <c r="G5" s="131" t="s">
        <v>1380</v>
      </c>
      <c r="H5" s="87" t="s">
        <v>1311</v>
      </c>
      <c r="I5" s="131" t="s">
        <v>51</v>
      </c>
      <c r="J5" s="331">
        <v>44123</v>
      </c>
      <c r="K5" s="15" t="s">
        <v>33</v>
      </c>
      <c r="L5" s="330">
        <v>3339920</v>
      </c>
      <c r="M5" s="15" t="s">
        <v>19</v>
      </c>
    </row>
    <row r="6" spans="1:13" x14ac:dyDescent="0.3">
      <c r="B6" s="131">
        <v>44123</v>
      </c>
      <c r="C6" s="132" t="s">
        <v>1515</v>
      </c>
      <c r="D6" s="16" t="s">
        <v>31</v>
      </c>
      <c r="E6" s="85" t="s">
        <v>1495</v>
      </c>
      <c r="F6" s="85" t="s">
        <v>1203</v>
      </c>
      <c r="G6" s="87" t="s">
        <v>301</v>
      </c>
      <c r="H6" s="180" t="s">
        <v>1507</v>
      </c>
      <c r="I6" s="131" t="s">
        <v>81</v>
      </c>
      <c r="J6" s="333">
        <v>44126</v>
      </c>
      <c r="K6" s="15" t="s">
        <v>33</v>
      </c>
      <c r="L6" s="147">
        <v>906867</v>
      </c>
      <c r="M6" s="15" t="s">
        <v>19</v>
      </c>
    </row>
    <row r="7" spans="1:13" x14ac:dyDescent="0.3">
      <c r="B7" s="131">
        <v>44123</v>
      </c>
      <c r="C7" s="132" t="s">
        <v>1515</v>
      </c>
      <c r="D7" s="16" t="s">
        <v>31</v>
      </c>
      <c r="E7" s="85" t="s">
        <v>1495</v>
      </c>
      <c r="F7" s="85" t="s">
        <v>1203</v>
      </c>
      <c r="G7" s="87" t="s">
        <v>301</v>
      </c>
      <c r="H7" s="180" t="s">
        <v>1502</v>
      </c>
      <c r="I7" s="131" t="s">
        <v>81</v>
      </c>
      <c r="J7" s="333">
        <v>44125</v>
      </c>
      <c r="K7" s="15" t="s">
        <v>33</v>
      </c>
      <c r="L7" s="147">
        <v>931377</v>
      </c>
      <c r="M7" s="15" t="s">
        <v>19</v>
      </c>
    </row>
    <row r="8" spans="1:13" x14ac:dyDescent="0.3">
      <c r="B8" s="131">
        <v>44123</v>
      </c>
      <c r="C8" s="132" t="s">
        <v>1519</v>
      </c>
      <c r="D8" s="16" t="s">
        <v>31</v>
      </c>
      <c r="E8" s="85" t="s">
        <v>1495</v>
      </c>
      <c r="F8" s="85" t="s">
        <v>1203</v>
      </c>
      <c r="G8" s="87" t="s">
        <v>301</v>
      </c>
      <c r="H8" s="180" t="s">
        <v>781</v>
      </c>
      <c r="I8" s="131" t="s">
        <v>81</v>
      </c>
      <c r="J8" s="333" t="s">
        <v>1584</v>
      </c>
      <c r="K8" s="15" t="s">
        <v>33</v>
      </c>
      <c r="L8" s="147">
        <v>1556380</v>
      </c>
      <c r="M8" s="15" t="s">
        <v>19</v>
      </c>
    </row>
    <row r="9" spans="1:13" x14ac:dyDescent="0.3">
      <c r="B9" s="131">
        <v>44126</v>
      </c>
      <c r="C9" s="132" t="s">
        <v>1519</v>
      </c>
      <c r="D9" s="16" t="s">
        <v>31</v>
      </c>
      <c r="E9" s="85" t="s">
        <v>1495</v>
      </c>
      <c r="F9" s="85" t="s">
        <v>1203</v>
      </c>
      <c r="G9" s="87" t="s">
        <v>301</v>
      </c>
      <c r="H9" s="180" t="s">
        <v>1507</v>
      </c>
      <c r="I9" s="131" t="s">
        <v>81</v>
      </c>
      <c r="J9" s="333">
        <v>44126</v>
      </c>
      <c r="K9" s="15" t="s">
        <v>33</v>
      </c>
      <c r="L9" s="147">
        <v>318122</v>
      </c>
      <c r="M9" s="15" t="s">
        <v>19</v>
      </c>
    </row>
    <row r="10" spans="1:13" x14ac:dyDescent="0.3">
      <c r="B10" s="131">
        <v>44126</v>
      </c>
      <c r="C10" s="132" t="s">
        <v>1415</v>
      </c>
      <c r="D10" s="16" t="s">
        <v>31</v>
      </c>
      <c r="E10" s="86" t="s">
        <v>445</v>
      </c>
      <c r="F10" s="85" t="s">
        <v>1416</v>
      </c>
      <c r="G10" s="87" t="s">
        <v>1417</v>
      </c>
      <c r="H10" s="180" t="s">
        <v>1119</v>
      </c>
      <c r="I10" s="131" t="s">
        <v>85</v>
      </c>
      <c r="J10" s="333">
        <v>44134</v>
      </c>
      <c r="K10" s="15" t="s">
        <v>33</v>
      </c>
      <c r="L10" s="147">
        <v>4071830</v>
      </c>
      <c r="M10" s="15" t="s">
        <v>19</v>
      </c>
    </row>
    <row r="11" spans="1:13" x14ac:dyDescent="0.3">
      <c r="B11" s="131">
        <v>44127</v>
      </c>
      <c r="C11" s="132" t="s">
        <v>1530</v>
      </c>
      <c r="D11" s="16" t="s">
        <v>31</v>
      </c>
      <c r="E11" s="86" t="s">
        <v>445</v>
      </c>
      <c r="F11" s="85" t="s">
        <v>1531</v>
      </c>
      <c r="G11" s="87" t="s">
        <v>301</v>
      </c>
      <c r="H11" s="180" t="s">
        <v>1532</v>
      </c>
      <c r="I11" s="131" t="s">
        <v>85</v>
      </c>
      <c r="J11" s="333">
        <v>44129</v>
      </c>
      <c r="K11" s="15" t="s">
        <v>39</v>
      </c>
      <c r="L11" s="147">
        <v>10577617</v>
      </c>
      <c r="M11" s="15" t="s">
        <v>20</v>
      </c>
    </row>
    <row r="12" spans="1:13" x14ac:dyDescent="0.3">
      <c r="B12" s="87">
        <v>44106</v>
      </c>
      <c r="C12" s="153" t="s">
        <v>1333</v>
      </c>
      <c r="D12" s="15" t="s">
        <v>31</v>
      </c>
      <c r="E12" s="86" t="s">
        <v>1142</v>
      </c>
      <c r="F12" s="85" t="s">
        <v>893</v>
      </c>
      <c r="G12" s="87" t="s">
        <v>116</v>
      </c>
      <c r="H12" s="87" t="s">
        <v>32</v>
      </c>
      <c r="I12" s="150" t="s">
        <v>97</v>
      </c>
      <c r="J12" s="331">
        <v>44110</v>
      </c>
      <c r="K12" s="151" t="s">
        <v>39</v>
      </c>
      <c r="L12" s="147">
        <v>4930948</v>
      </c>
      <c r="M12" s="15" t="s">
        <v>20</v>
      </c>
    </row>
    <row r="13" spans="1:13" x14ac:dyDescent="0.3">
      <c r="B13" s="87">
        <v>44106</v>
      </c>
      <c r="C13" s="133" t="s">
        <v>1334</v>
      </c>
      <c r="D13" s="15" t="s">
        <v>31</v>
      </c>
      <c r="E13" s="86" t="s">
        <v>1142</v>
      </c>
      <c r="F13" s="15" t="s">
        <v>1335</v>
      </c>
      <c r="G13" s="131" t="s">
        <v>304</v>
      </c>
      <c r="H13" s="180" t="s">
        <v>38</v>
      </c>
      <c r="I13" s="87" t="s">
        <v>97</v>
      </c>
      <c r="J13" s="332">
        <v>44107</v>
      </c>
      <c r="K13" s="15" t="s">
        <v>33</v>
      </c>
      <c r="L13" s="147">
        <v>4225258</v>
      </c>
      <c r="M13" s="15" t="s">
        <v>19</v>
      </c>
    </row>
    <row r="14" spans="1:13" x14ac:dyDescent="0.3">
      <c r="B14" s="87">
        <v>44106</v>
      </c>
      <c r="C14" s="133" t="s">
        <v>1336</v>
      </c>
      <c r="D14" s="15" t="s">
        <v>31</v>
      </c>
      <c r="E14" s="86" t="s">
        <v>1142</v>
      </c>
      <c r="F14" s="15" t="s">
        <v>1335</v>
      </c>
      <c r="G14" s="131" t="s">
        <v>304</v>
      </c>
      <c r="H14" s="180" t="s">
        <v>38</v>
      </c>
      <c r="I14" s="87" t="s">
        <v>97</v>
      </c>
      <c r="J14" s="332">
        <v>44107</v>
      </c>
      <c r="K14" s="15" t="s">
        <v>33</v>
      </c>
      <c r="L14" s="147">
        <v>4225258</v>
      </c>
      <c r="M14" s="15" t="s">
        <v>19</v>
      </c>
    </row>
    <row r="15" spans="1:13" x14ac:dyDescent="0.3">
      <c r="B15" s="87">
        <v>44106</v>
      </c>
      <c r="C15" s="133" t="s">
        <v>1337</v>
      </c>
      <c r="D15" s="15" t="s">
        <v>31</v>
      </c>
      <c r="E15" s="86" t="s">
        <v>1142</v>
      </c>
      <c r="F15" s="15" t="s">
        <v>1335</v>
      </c>
      <c r="G15" s="131" t="s">
        <v>304</v>
      </c>
      <c r="H15" s="180" t="s">
        <v>38</v>
      </c>
      <c r="I15" s="87" t="s">
        <v>97</v>
      </c>
      <c r="J15" s="332">
        <v>44107</v>
      </c>
      <c r="K15" s="15" t="s">
        <v>33</v>
      </c>
      <c r="L15" s="147">
        <v>4345293</v>
      </c>
      <c r="M15" s="15" t="s">
        <v>19</v>
      </c>
    </row>
    <row r="16" spans="1:13" x14ac:dyDescent="0.3">
      <c r="B16" s="87">
        <v>44106</v>
      </c>
      <c r="C16" s="133" t="s">
        <v>1338</v>
      </c>
      <c r="D16" s="15" t="s">
        <v>31</v>
      </c>
      <c r="E16" s="86" t="s">
        <v>1142</v>
      </c>
      <c r="F16" s="15" t="s">
        <v>1335</v>
      </c>
      <c r="G16" s="131" t="s">
        <v>304</v>
      </c>
      <c r="H16" s="180" t="s">
        <v>38</v>
      </c>
      <c r="I16" s="87" t="s">
        <v>97</v>
      </c>
      <c r="J16" s="332">
        <v>44107</v>
      </c>
      <c r="K16" s="15" t="s">
        <v>33</v>
      </c>
      <c r="L16" s="147">
        <v>4225258</v>
      </c>
      <c r="M16" s="15" t="s">
        <v>19</v>
      </c>
    </row>
    <row r="17" spans="2:13" x14ac:dyDescent="0.3">
      <c r="B17" s="87">
        <v>44106</v>
      </c>
      <c r="C17" s="133" t="s">
        <v>1339</v>
      </c>
      <c r="D17" s="15" t="s">
        <v>31</v>
      </c>
      <c r="E17" s="86" t="s">
        <v>1142</v>
      </c>
      <c r="F17" s="15" t="s">
        <v>1335</v>
      </c>
      <c r="G17" s="131" t="s">
        <v>304</v>
      </c>
      <c r="H17" s="180" t="s">
        <v>38</v>
      </c>
      <c r="I17" s="87" t="s">
        <v>97</v>
      </c>
      <c r="J17" s="332">
        <v>44107</v>
      </c>
      <c r="K17" s="15" t="s">
        <v>33</v>
      </c>
      <c r="L17" s="147">
        <v>4345293</v>
      </c>
      <c r="M17" s="15" t="s">
        <v>19</v>
      </c>
    </row>
    <row r="18" spans="2:13" x14ac:dyDescent="0.3">
      <c r="B18" s="87">
        <v>44106</v>
      </c>
      <c r="C18" s="153" t="s">
        <v>1340</v>
      </c>
      <c r="D18" s="15" t="s">
        <v>31</v>
      </c>
      <c r="E18" s="86" t="s">
        <v>1142</v>
      </c>
      <c r="F18" s="86" t="s">
        <v>1335</v>
      </c>
      <c r="G18" s="87" t="s">
        <v>304</v>
      </c>
      <c r="H18" s="180" t="s">
        <v>38</v>
      </c>
      <c r="I18" s="150" t="s">
        <v>97</v>
      </c>
      <c r="J18" s="331">
        <v>44107</v>
      </c>
      <c r="K18" s="15" t="s">
        <v>33</v>
      </c>
      <c r="L18" s="147">
        <v>4225258</v>
      </c>
      <c r="M18" s="15" t="s">
        <v>19</v>
      </c>
    </row>
    <row r="19" spans="2:13" x14ac:dyDescent="0.3">
      <c r="B19" s="87">
        <v>44107</v>
      </c>
      <c r="C19" s="153" t="s">
        <v>1334</v>
      </c>
      <c r="D19" s="15" t="s">
        <v>31</v>
      </c>
      <c r="E19" s="86" t="s">
        <v>1142</v>
      </c>
      <c r="F19" s="86" t="s">
        <v>1335</v>
      </c>
      <c r="G19" s="87" t="s">
        <v>614</v>
      </c>
      <c r="H19" s="180" t="s">
        <v>38</v>
      </c>
      <c r="I19" s="150" t="s">
        <v>97</v>
      </c>
      <c r="J19" s="331">
        <v>44111</v>
      </c>
      <c r="K19" s="15" t="s">
        <v>33</v>
      </c>
      <c r="L19" s="147">
        <v>840250</v>
      </c>
      <c r="M19" s="15" t="s">
        <v>19</v>
      </c>
    </row>
    <row r="20" spans="2:13" x14ac:dyDescent="0.3">
      <c r="B20" s="87">
        <v>44107</v>
      </c>
      <c r="C20" s="153" t="s">
        <v>1336</v>
      </c>
      <c r="D20" s="15" t="s">
        <v>31</v>
      </c>
      <c r="E20" s="86" t="s">
        <v>1142</v>
      </c>
      <c r="F20" s="86" t="s">
        <v>1335</v>
      </c>
      <c r="G20" s="87" t="s">
        <v>304</v>
      </c>
      <c r="H20" s="180" t="s">
        <v>38</v>
      </c>
      <c r="I20" s="150" t="s">
        <v>97</v>
      </c>
      <c r="J20" s="331">
        <v>44107</v>
      </c>
      <c r="K20" s="15" t="s">
        <v>33</v>
      </c>
      <c r="L20" s="147">
        <v>840250</v>
      </c>
      <c r="M20" s="15" t="s">
        <v>19</v>
      </c>
    </row>
    <row r="21" spans="2:13" x14ac:dyDescent="0.3">
      <c r="B21" s="87">
        <v>44107</v>
      </c>
      <c r="C21" s="153" t="s">
        <v>1337</v>
      </c>
      <c r="D21" s="15" t="s">
        <v>31</v>
      </c>
      <c r="E21" s="86" t="s">
        <v>1142</v>
      </c>
      <c r="F21" s="86" t="s">
        <v>1335</v>
      </c>
      <c r="G21" s="87" t="s">
        <v>304</v>
      </c>
      <c r="H21" s="180" t="s">
        <v>38</v>
      </c>
      <c r="I21" s="150" t="s">
        <v>97</v>
      </c>
      <c r="J21" s="331">
        <v>44107</v>
      </c>
      <c r="K21" s="15" t="s">
        <v>33</v>
      </c>
      <c r="L21" s="147">
        <v>840250</v>
      </c>
      <c r="M21" s="15" t="s">
        <v>19</v>
      </c>
    </row>
    <row r="22" spans="2:13" x14ac:dyDescent="0.3">
      <c r="B22" s="87">
        <v>44107</v>
      </c>
      <c r="C22" s="133" t="s">
        <v>1338</v>
      </c>
      <c r="D22" s="15" t="s">
        <v>31</v>
      </c>
      <c r="E22" s="86" t="s">
        <v>1142</v>
      </c>
      <c r="F22" s="16" t="s">
        <v>1335</v>
      </c>
      <c r="G22" s="87" t="s">
        <v>304</v>
      </c>
      <c r="H22" s="180" t="s">
        <v>38</v>
      </c>
      <c r="I22" s="152" t="s">
        <v>97</v>
      </c>
      <c r="J22" s="332">
        <v>44107</v>
      </c>
      <c r="K22" s="15" t="s">
        <v>33</v>
      </c>
      <c r="L22" s="147">
        <v>960285</v>
      </c>
      <c r="M22" s="15" t="s">
        <v>19</v>
      </c>
    </row>
    <row r="23" spans="2:13" x14ac:dyDescent="0.3">
      <c r="B23" s="87">
        <v>44107</v>
      </c>
      <c r="C23" s="132" t="s">
        <v>1339</v>
      </c>
      <c r="D23" s="16" t="s">
        <v>31</v>
      </c>
      <c r="E23" s="86" t="s">
        <v>1142</v>
      </c>
      <c r="F23" s="85" t="s">
        <v>1335</v>
      </c>
      <c r="G23" s="87" t="s">
        <v>304</v>
      </c>
      <c r="H23" s="180" t="s">
        <v>38</v>
      </c>
      <c r="I23" s="131" t="s">
        <v>97</v>
      </c>
      <c r="J23" s="333">
        <v>44107</v>
      </c>
      <c r="K23" s="15" t="s">
        <v>33</v>
      </c>
      <c r="L23" s="147">
        <v>960285</v>
      </c>
      <c r="M23" s="15" t="s">
        <v>19</v>
      </c>
    </row>
    <row r="24" spans="2:13" x14ac:dyDescent="0.3">
      <c r="B24" s="87">
        <v>44107</v>
      </c>
      <c r="C24" s="132" t="s">
        <v>1340</v>
      </c>
      <c r="D24" s="16" t="s">
        <v>31</v>
      </c>
      <c r="E24" s="86" t="s">
        <v>1142</v>
      </c>
      <c r="F24" s="85" t="s">
        <v>1335</v>
      </c>
      <c r="G24" s="87" t="s">
        <v>304</v>
      </c>
      <c r="H24" s="180" t="s">
        <v>38</v>
      </c>
      <c r="I24" s="131" t="s">
        <v>97</v>
      </c>
      <c r="J24" s="333">
        <v>44107</v>
      </c>
      <c r="K24" s="15" t="s">
        <v>33</v>
      </c>
      <c r="L24" s="147">
        <v>960285</v>
      </c>
      <c r="M24" s="15" t="s">
        <v>19</v>
      </c>
    </row>
    <row r="25" spans="2:13" x14ac:dyDescent="0.3">
      <c r="B25" s="87">
        <v>44112</v>
      </c>
      <c r="C25" s="133" t="s">
        <v>1334</v>
      </c>
      <c r="D25" s="15" t="s">
        <v>31</v>
      </c>
      <c r="E25" s="86" t="s">
        <v>1142</v>
      </c>
      <c r="F25" s="16" t="s">
        <v>1335</v>
      </c>
      <c r="G25" s="131" t="s">
        <v>614</v>
      </c>
      <c r="H25" s="180" t="s">
        <v>38</v>
      </c>
      <c r="I25" s="87" t="s">
        <v>97</v>
      </c>
      <c r="J25" s="332">
        <v>44113</v>
      </c>
      <c r="K25" s="15" t="s">
        <v>33</v>
      </c>
      <c r="L25" s="147">
        <v>242217</v>
      </c>
      <c r="M25" s="15" t="s">
        <v>19</v>
      </c>
    </row>
    <row r="26" spans="2:13" x14ac:dyDescent="0.3">
      <c r="B26" s="87">
        <v>44112</v>
      </c>
      <c r="C26" s="132" t="s">
        <v>1336</v>
      </c>
      <c r="D26" s="15" t="s">
        <v>31</v>
      </c>
      <c r="E26" s="86" t="s">
        <v>1142</v>
      </c>
      <c r="F26" s="85" t="s">
        <v>1335</v>
      </c>
      <c r="G26" s="87" t="s">
        <v>614</v>
      </c>
      <c r="H26" s="180" t="s">
        <v>38</v>
      </c>
      <c r="I26" s="150" t="s">
        <v>97</v>
      </c>
      <c r="J26" s="331">
        <v>44113</v>
      </c>
      <c r="K26" s="15" t="s">
        <v>33</v>
      </c>
      <c r="L26" s="147">
        <v>242217</v>
      </c>
      <c r="M26" s="15" t="s">
        <v>19</v>
      </c>
    </row>
    <row r="27" spans="2:13" x14ac:dyDescent="0.3">
      <c r="B27" s="87">
        <v>44112</v>
      </c>
      <c r="C27" s="133" t="s">
        <v>1337</v>
      </c>
      <c r="D27" s="15" t="s">
        <v>31</v>
      </c>
      <c r="E27" s="86" t="s">
        <v>1142</v>
      </c>
      <c r="F27" s="85" t="s">
        <v>1335</v>
      </c>
      <c r="G27" s="87" t="s">
        <v>614</v>
      </c>
      <c r="H27" s="180" t="s">
        <v>38</v>
      </c>
      <c r="I27" s="150" t="s">
        <v>97</v>
      </c>
      <c r="J27" s="331">
        <v>44113</v>
      </c>
      <c r="K27" s="15" t="s">
        <v>33</v>
      </c>
      <c r="L27" s="147">
        <v>242217</v>
      </c>
      <c r="M27" s="15" t="s">
        <v>19</v>
      </c>
    </row>
    <row r="28" spans="2:13" x14ac:dyDescent="0.3">
      <c r="B28" s="87">
        <v>44112</v>
      </c>
      <c r="C28" s="153" t="s">
        <v>1338</v>
      </c>
      <c r="D28" s="15" t="s">
        <v>31</v>
      </c>
      <c r="E28" s="86" t="s">
        <v>1142</v>
      </c>
      <c r="F28" s="15" t="s">
        <v>1335</v>
      </c>
      <c r="G28" s="87" t="s">
        <v>614</v>
      </c>
      <c r="H28" s="180" t="s">
        <v>38</v>
      </c>
      <c r="I28" s="150" t="s">
        <v>97</v>
      </c>
      <c r="J28" s="331">
        <v>44113</v>
      </c>
      <c r="K28" s="15" t="s">
        <v>33</v>
      </c>
      <c r="L28" s="147">
        <v>242217</v>
      </c>
      <c r="M28" s="15" t="s">
        <v>19</v>
      </c>
    </row>
    <row r="29" spans="2:13" x14ac:dyDescent="0.3">
      <c r="B29" s="87">
        <v>44112</v>
      </c>
      <c r="C29" s="153" t="s">
        <v>1339</v>
      </c>
      <c r="D29" s="15" t="s">
        <v>31</v>
      </c>
      <c r="E29" s="86" t="s">
        <v>1142</v>
      </c>
      <c r="F29" s="86" t="s">
        <v>1335</v>
      </c>
      <c r="G29" s="87" t="s">
        <v>614</v>
      </c>
      <c r="H29" s="180" t="s">
        <v>38</v>
      </c>
      <c r="I29" s="150" t="s">
        <v>97</v>
      </c>
      <c r="J29" s="331">
        <v>44113</v>
      </c>
      <c r="K29" s="15" t="s">
        <v>33</v>
      </c>
      <c r="L29" s="147">
        <v>242217</v>
      </c>
      <c r="M29" s="15" t="s">
        <v>19</v>
      </c>
    </row>
    <row r="30" spans="2:13" x14ac:dyDescent="0.3">
      <c r="B30" s="87">
        <v>44112</v>
      </c>
      <c r="C30" s="133" t="s">
        <v>1340</v>
      </c>
      <c r="D30" s="15" t="s">
        <v>31</v>
      </c>
      <c r="E30" s="86" t="s">
        <v>1142</v>
      </c>
      <c r="F30" s="16" t="s">
        <v>1335</v>
      </c>
      <c r="G30" s="87" t="s">
        <v>614</v>
      </c>
      <c r="H30" s="180" t="s">
        <v>38</v>
      </c>
      <c r="I30" s="152" t="s">
        <v>97</v>
      </c>
      <c r="J30" s="332">
        <v>44113</v>
      </c>
      <c r="K30" s="15" t="s">
        <v>33</v>
      </c>
      <c r="L30" s="147">
        <v>242217</v>
      </c>
      <c r="M30" s="15" t="s">
        <v>19</v>
      </c>
    </row>
    <row r="31" spans="2:13" x14ac:dyDescent="0.3">
      <c r="B31" s="87">
        <v>44113</v>
      </c>
      <c r="C31" s="133" t="s">
        <v>1356</v>
      </c>
      <c r="D31" s="15" t="s">
        <v>31</v>
      </c>
      <c r="E31" s="86" t="s">
        <v>1142</v>
      </c>
      <c r="F31" s="16" t="s">
        <v>1357</v>
      </c>
      <c r="G31" s="131" t="s">
        <v>1044</v>
      </c>
      <c r="H31" s="180" t="s">
        <v>32</v>
      </c>
      <c r="I31" s="87" t="s">
        <v>97</v>
      </c>
      <c r="J31" s="332">
        <v>44118</v>
      </c>
      <c r="K31" s="15" t="s">
        <v>33</v>
      </c>
      <c r="L31" s="147">
        <v>4723658</v>
      </c>
      <c r="M31" s="15" t="s">
        <v>19</v>
      </c>
    </row>
    <row r="32" spans="2:13" x14ac:dyDescent="0.3">
      <c r="B32" s="87">
        <v>44114</v>
      </c>
      <c r="C32" s="133" t="s">
        <v>1333</v>
      </c>
      <c r="D32" s="15" t="s">
        <v>31</v>
      </c>
      <c r="E32" s="86" t="s">
        <v>1142</v>
      </c>
      <c r="F32" s="15" t="s">
        <v>893</v>
      </c>
      <c r="G32" s="131" t="s">
        <v>116</v>
      </c>
      <c r="H32" s="180" t="s">
        <v>38</v>
      </c>
      <c r="I32" s="87" t="s">
        <v>97</v>
      </c>
      <c r="J32" s="332">
        <v>44117</v>
      </c>
      <c r="K32" s="15" t="s">
        <v>39</v>
      </c>
      <c r="L32" s="147">
        <v>6915308</v>
      </c>
      <c r="M32" s="15" t="s">
        <v>20</v>
      </c>
    </row>
    <row r="33" spans="2:13" x14ac:dyDescent="0.3">
      <c r="B33" s="87">
        <v>44116</v>
      </c>
      <c r="C33" s="133" t="s">
        <v>1368</v>
      </c>
      <c r="D33" s="15" t="s">
        <v>31</v>
      </c>
      <c r="E33" s="86" t="s">
        <v>1142</v>
      </c>
      <c r="F33" s="15" t="s">
        <v>126</v>
      </c>
      <c r="G33" s="131" t="s">
        <v>116</v>
      </c>
      <c r="H33" s="180" t="s">
        <v>35</v>
      </c>
      <c r="I33" s="87" t="s">
        <v>97</v>
      </c>
      <c r="J33" s="332" t="s">
        <v>1369</v>
      </c>
      <c r="K33" s="15" t="s">
        <v>39</v>
      </c>
      <c r="L33" s="147">
        <v>12801751</v>
      </c>
      <c r="M33" s="15" t="s">
        <v>19</v>
      </c>
    </row>
    <row r="34" spans="2:13" x14ac:dyDescent="0.3">
      <c r="B34" s="87">
        <v>44118</v>
      </c>
      <c r="C34" s="132" t="s">
        <v>1378</v>
      </c>
      <c r="D34" s="16" t="s">
        <v>31</v>
      </c>
      <c r="E34" s="86" t="s">
        <v>1142</v>
      </c>
      <c r="F34" s="85" t="s">
        <v>1379</v>
      </c>
      <c r="G34" s="87" t="s">
        <v>1380</v>
      </c>
      <c r="H34" s="180" t="s">
        <v>38</v>
      </c>
      <c r="I34" s="131" t="s">
        <v>97</v>
      </c>
      <c r="J34" s="333">
        <v>44127</v>
      </c>
      <c r="K34" s="15" t="s">
        <v>33</v>
      </c>
      <c r="L34" s="147">
        <v>8874018</v>
      </c>
      <c r="M34" s="15" t="s">
        <v>19</v>
      </c>
    </row>
    <row r="35" spans="2:13" x14ac:dyDescent="0.3">
      <c r="B35" s="87">
        <v>44118</v>
      </c>
      <c r="C35" s="132" t="s">
        <v>1381</v>
      </c>
      <c r="D35" s="16" t="s">
        <v>31</v>
      </c>
      <c r="E35" s="86" t="s">
        <v>1142</v>
      </c>
      <c r="F35" s="85" t="s">
        <v>1379</v>
      </c>
      <c r="G35" s="87" t="s">
        <v>1380</v>
      </c>
      <c r="H35" s="180" t="s">
        <v>38</v>
      </c>
      <c r="I35" s="131" t="s">
        <v>97</v>
      </c>
      <c r="J35" s="333">
        <v>44127</v>
      </c>
      <c r="K35" s="15" t="s">
        <v>33</v>
      </c>
      <c r="L35" s="147">
        <v>8874018</v>
      </c>
      <c r="M35" s="15" t="s">
        <v>19</v>
      </c>
    </row>
    <row r="36" spans="2:13" x14ac:dyDescent="0.3">
      <c r="B36" s="87">
        <v>44118</v>
      </c>
      <c r="C36" s="133" t="s">
        <v>1378</v>
      </c>
      <c r="D36" s="15" t="s">
        <v>31</v>
      </c>
      <c r="E36" s="86" t="s">
        <v>1142</v>
      </c>
      <c r="F36" s="15" t="s">
        <v>1379</v>
      </c>
      <c r="G36" s="131" t="s">
        <v>1380</v>
      </c>
      <c r="H36" s="180" t="s">
        <v>32</v>
      </c>
      <c r="I36" s="87" t="s">
        <v>97</v>
      </c>
      <c r="J36" s="332">
        <v>44123</v>
      </c>
      <c r="K36" s="15" t="s">
        <v>39</v>
      </c>
      <c r="L36" s="147">
        <v>6997582</v>
      </c>
      <c r="M36" s="15" t="s">
        <v>19</v>
      </c>
    </row>
    <row r="37" spans="2:13" x14ac:dyDescent="0.3">
      <c r="B37" s="87">
        <v>44118</v>
      </c>
      <c r="C37" s="153" t="s">
        <v>1381</v>
      </c>
      <c r="D37" s="15" t="s">
        <v>31</v>
      </c>
      <c r="E37" s="86" t="s">
        <v>1142</v>
      </c>
      <c r="F37" s="86" t="s">
        <v>1379</v>
      </c>
      <c r="G37" s="87" t="s">
        <v>1380</v>
      </c>
      <c r="H37" s="180" t="s">
        <v>32</v>
      </c>
      <c r="I37" s="150" t="s">
        <v>97</v>
      </c>
      <c r="J37" s="331">
        <v>44123</v>
      </c>
      <c r="K37" s="15" t="s">
        <v>39</v>
      </c>
      <c r="L37" s="147">
        <v>6997582</v>
      </c>
      <c r="M37" s="15" t="s">
        <v>19</v>
      </c>
    </row>
    <row r="38" spans="2:13" x14ac:dyDescent="0.3">
      <c r="B38" s="131">
        <v>44119</v>
      </c>
      <c r="C38" s="132" t="s">
        <v>1368</v>
      </c>
      <c r="D38" s="16" t="s">
        <v>31</v>
      </c>
      <c r="E38" s="86" t="s">
        <v>1142</v>
      </c>
      <c r="F38" s="85" t="s">
        <v>126</v>
      </c>
      <c r="G38" s="87" t="s">
        <v>614</v>
      </c>
      <c r="H38" s="180" t="s">
        <v>38</v>
      </c>
      <c r="I38" s="131" t="s">
        <v>97</v>
      </c>
      <c r="J38" s="333">
        <v>44122</v>
      </c>
      <c r="K38" s="15" t="s">
        <v>39</v>
      </c>
      <c r="L38" s="147">
        <v>1637588</v>
      </c>
      <c r="M38" s="15" t="s">
        <v>19</v>
      </c>
    </row>
    <row r="39" spans="2:13" x14ac:dyDescent="0.3">
      <c r="B39" s="131">
        <v>44120</v>
      </c>
      <c r="C39" s="132" t="s">
        <v>1368</v>
      </c>
      <c r="D39" s="16" t="s">
        <v>31</v>
      </c>
      <c r="E39" s="86" t="s">
        <v>1142</v>
      </c>
      <c r="F39" s="85" t="s">
        <v>126</v>
      </c>
      <c r="G39" s="87" t="s">
        <v>614</v>
      </c>
      <c r="H39" s="180" t="s">
        <v>38</v>
      </c>
      <c r="I39" s="131" t="s">
        <v>97</v>
      </c>
      <c r="J39" s="333">
        <v>44124</v>
      </c>
      <c r="K39" s="15" t="s">
        <v>39</v>
      </c>
      <c r="L39" s="147">
        <v>694420</v>
      </c>
      <c r="M39" s="15" t="s">
        <v>19</v>
      </c>
    </row>
    <row r="40" spans="2:13" x14ac:dyDescent="0.3">
      <c r="B40" s="131">
        <v>44123</v>
      </c>
      <c r="C40" s="153" t="s">
        <v>1394</v>
      </c>
      <c r="D40" s="15" t="s">
        <v>31</v>
      </c>
      <c r="E40" s="86" t="s">
        <v>1142</v>
      </c>
      <c r="F40" s="85" t="s">
        <v>1335</v>
      </c>
      <c r="G40" s="87" t="s">
        <v>1395</v>
      </c>
      <c r="H40" s="180" t="s">
        <v>38</v>
      </c>
      <c r="I40" s="150" t="s">
        <v>97</v>
      </c>
      <c r="J40" s="331">
        <v>44124</v>
      </c>
      <c r="K40" s="15" t="s">
        <v>33</v>
      </c>
      <c r="L40" s="147">
        <v>4484503</v>
      </c>
      <c r="M40" s="15" t="s">
        <v>19</v>
      </c>
    </row>
    <row r="41" spans="2:13" x14ac:dyDescent="0.3">
      <c r="B41" s="131">
        <v>44123</v>
      </c>
      <c r="C41" s="153" t="s">
        <v>1396</v>
      </c>
      <c r="D41" s="15" t="s">
        <v>31</v>
      </c>
      <c r="E41" s="86" t="s">
        <v>1142</v>
      </c>
      <c r="F41" s="85" t="s">
        <v>1335</v>
      </c>
      <c r="G41" s="87" t="s">
        <v>1395</v>
      </c>
      <c r="H41" s="180" t="s">
        <v>38</v>
      </c>
      <c r="I41" s="150" t="s">
        <v>97</v>
      </c>
      <c r="J41" s="331">
        <v>44124</v>
      </c>
      <c r="K41" s="15" t="s">
        <v>33</v>
      </c>
      <c r="L41" s="147">
        <v>4277214</v>
      </c>
      <c r="M41" s="15" t="s">
        <v>19</v>
      </c>
    </row>
    <row r="42" spans="2:13" x14ac:dyDescent="0.3">
      <c r="B42" s="131">
        <v>44123</v>
      </c>
      <c r="C42" s="133" t="s">
        <v>1397</v>
      </c>
      <c r="D42" s="15" t="s">
        <v>31</v>
      </c>
      <c r="E42" s="86" t="s">
        <v>1142</v>
      </c>
      <c r="F42" s="16" t="s">
        <v>1335</v>
      </c>
      <c r="G42" s="131" t="s">
        <v>1395</v>
      </c>
      <c r="H42" s="180" t="s">
        <v>38</v>
      </c>
      <c r="I42" s="87" t="s">
        <v>97</v>
      </c>
      <c r="J42" s="332">
        <v>44124</v>
      </c>
      <c r="K42" s="15" t="s">
        <v>33</v>
      </c>
      <c r="L42" s="147">
        <v>4277214</v>
      </c>
      <c r="M42" s="15" t="s">
        <v>19</v>
      </c>
    </row>
    <row r="43" spans="2:13" x14ac:dyDescent="0.3">
      <c r="B43" s="131">
        <v>44123</v>
      </c>
      <c r="C43" s="133" t="s">
        <v>838</v>
      </c>
      <c r="D43" s="15" t="s">
        <v>31</v>
      </c>
      <c r="E43" s="86" t="s">
        <v>1142</v>
      </c>
      <c r="F43" s="15" t="s">
        <v>1335</v>
      </c>
      <c r="G43" s="131" t="s">
        <v>1395</v>
      </c>
      <c r="H43" s="180" t="s">
        <v>38</v>
      </c>
      <c r="I43" s="87" t="s">
        <v>97</v>
      </c>
      <c r="J43" s="332">
        <v>44124</v>
      </c>
      <c r="K43" s="15" t="s">
        <v>33</v>
      </c>
      <c r="L43" s="147">
        <v>4277214</v>
      </c>
      <c r="M43" s="15" t="s">
        <v>19</v>
      </c>
    </row>
    <row r="44" spans="2:13" x14ac:dyDescent="0.3">
      <c r="B44" s="131">
        <v>44123</v>
      </c>
      <c r="C44" s="153" t="s">
        <v>1398</v>
      </c>
      <c r="D44" s="15" t="s">
        <v>31</v>
      </c>
      <c r="E44" s="86" t="s">
        <v>1142</v>
      </c>
      <c r="F44" s="86" t="s">
        <v>1335</v>
      </c>
      <c r="G44" s="87" t="s">
        <v>1395</v>
      </c>
      <c r="H44" s="180" t="s">
        <v>38</v>
      </c>
      <c r="I44" s="150" t="s">
        <v>97</v>
      </c>
      <c r="J44" s="331">
        <v>44124</v>
      </c>
      <c r="K44" s="15" t="s">
        <v>33</v>
      </c>
      <c r="L44" s="147">
        <v>4277214</v>
      </c>
      <c r="M44" s="15" t="s">
        <v>19</v>
      </c>
    </row>
    <row r="45" spans="2:13" x14ac:dyDescent="0.3">
      <c r="B45" s="131">
        <v>44123</v>
      </c>
      <c r="C45" s="153" t="s">
        <v>1399</v>
      </c>
      <c r="D45" s="15" t="s">
        <v>31</v>
      </c>
      <c r="E45" s="86" t="s">
        <v>1142</v>
      </c>
      <c r="F45" s="86" t="s">
        <v>1335</v>
      </c>
      <c r="G45" s="87" t="s">
        <v>1395</v>
      </c>
      <c r="H45" s="180" t="s">
        <v>38</v>
      </c>
      <c r="I45" s="150" t="s">
        <v>97</v>
      </c>
      <c r="J45" s="331">
        <v>44124</v>
      </c>
      <c r="K45" s="15" t="s">
        <v>33</v>
      </c>
      <c r="L45" s="147">
        <v>4277214</v>
      </c>
      <c r="M45" s="15" t="s">
        <v>19</v>
      </c>
    </row>
    <row r="46" spans="2:13" x14ac:dyDescent="0.3">
      <c r="B46" s="131">
        <v>44124</v>
      </c>
      <c r="C46" s="132" t="s">
        <v>1394</v>
      </c>
      <c r="D46" s="16" t="s">
        <v>31</v>
      </c>
      <c r="E46" s="86" t="s">
        <v>1142</v>
      </c>
      <c r="F46" s="85" t="s">
        <v>1335</v>
      </c>
      <c r="G46" s="87" t="s">
        <v>614</v>
      </c>
      <c r="H46" s="180" t="s">
        <v>38</v>
      </c>
      <c r="I46" s="131" t="s">
        <v>97</v>
      </c>
      <c r="J46" s="333">
        <v>44124</v>
      </c>
      <c r="K46" s="15" t="s">
        <v>33</v>
      </c>
      <c r="L46" s="147">
        <v>906867</v>
      </c>
      <c r="M46" s="15" t="s">
        <v>19</v>
      </c>
    </row>
    <row r="47" spans="2:13" x14ac:dyDescent="0.3">
      <c r="B47" s="131">
        <v>44124</v>
      </c>
      <c r="C47" s="132" t="s">
        <v>1396</v>
      </c>
      <c r="D47" s="16" t="s">
        <v>31</v>
      </c>
      <c r="E47" s="86" t="s">
        <v>1142</v>
      </c>
      <c r="F47" s="85" t="s">
        <v>1335</v>
      </c>
      <c r="G47" s="87" t="s">
        <v>614</v>
      </c>
      <c r="H47" s="180" t="s">
        <v>38</v>
      </c>
      <c r="I47" s="131" t="s">
        <v>97</v>
      </c>
      <c r="J47" s="333">
        <v>44124</v>
      </c>
      <c r="K47" s="15" t="s">
        <v>33</v>
      </c>
      <c r="L47" s="147">
        <v>906867</v>
      </c>
      <c r="M47" s="15" t="s">
        <v>19</v>
      </c>
    </row>
    <row r="48" spans="2:13" x14ac:dyDescent="0.3">
      <c r="B48" s="131">
        <v>44124</v>
      </c>
      <c r="C48" s="132" t="s">
        <v>1397</v>
      </c>
      <c r="D48" s="16" t="s">
        <v>31</v>
      </c>
      <c r="E48" s="86" t="s">
        <v>1142</v>
      </c>
      <c r="F48" s="183" t="s">
        <v>1335</v>
      </c>
      <c r="G48" s="87" t="s">
        <v>614</v>
      </c>
      <c r="H48" s="180" t="s">
        <v>38</v>
      </c>
      <c r="I48" s="131" t="s">
        <v>97</v>
      </c>
      <c r="J48" s="333">
        <v>44124</v>
      </c>
      <c r="K48" s="15" t="s">
        <v>33</v>
      </c>
      <c r="L48" s="147">
        <v>906867</v>
      </c>
      <c r="M48" s="15" t="s">
        <v>19</v>
      </c>
    </row>
    <row r="49" spans="2:13" x14ac:dyDescent="0.3">
      <c r="B49" s="131">
        <v>44124</v>
      </c>
      <c r="C49" s="132" t="s">
        <v>838</v>
      </c>
      <c r="D49" s="16" t="s">
        <v>31</v>
      </c>
      <c r="E49" s="86" t="s">
        <v>1142</v>
      </c>
      <c r="F49" s="183" t="s">
        <v>1335</v>
      </c>
      <c r="G49" s="87" t="s">
        <v>614</v>
      </c>
      <c r="H49" s="180" t="s">
        <v>38</v>
      </c>
      <c r="I49" s="131" t="s">
        <v>97</v>
      </c>
      <c r="J49" s="333">
        <v>44124</v>
      </c>
      <c r="K49" s="15" t="s">
        <v>33</v>
      </c>
      <c r="L49" s="147">
        <v>906867</v>
      </c>
      <c r="M49" s="15" t="s">
        <v>19</v>
      </c>
    </row>
    <row r="50" spans="2:13" x14ac:dyDescent="0.3">
      <c r="B50" s="131">
        <v>44124</v>
      </c>
      <c r="C50" s="132" t="s">
        <v>1398</v>
      </c>
      <c r="D50" s="16" t="s">
        <v>31</v>
      </c>
      <c r="E50" s="86" t="s">
        <v>1142</v>
      </c>
      <c r="F50" s="85" t="s">
        <v>1335</v>
      </c>
      <c r="G50" s="87" t="s">
        <v>614</v>
      </c>
      <c r="H50" s="180" t="s">
        <v>38</v>
      </c>
      <c r="I50" s="131" t="s">
        <v>97</v>
      </c>
      <c r="J50" s="333">
        <v>44124</v>
      </c>
      <c r="K50" s="15" t="s">
        <v>33</v>
      </c>
      <c r="L50" s="147">
        <v>906867</v>
      </c>
      <c r="M50" s="15" t="s">
        <v>19</v>
      </c>
    </row>
    <row r="51" spans="2:13" x14ac:dyDescent="0.3">
      <c r="B51" s="131">
        <v>44124</v>
      </c>
      <c r="C51" s="132" t="s">
        <v>1399</v>
      </c>
      <c r="D51" s="16" t="s">
        <v>31</v>
      </c>
      <c r="E51" s="86" t="s">
        <v>1142</v>
      </c>
      <c r="F51" s="85" t="s">
        <v>1335</v>
      </c>
      <c r="G51" s="87" t="s">
        <v>614</v>
      </c>
      <c r="H51" s="180" t="s">
        <v>38</v>
      </c>
      <c r="I51" s="131" t="s">
        <v>97</v>
      </c>
      <c r="J51" s="333">
        <v>44124</v>
      </c>
      <c r="K51" s="15" t="s">
        <v>33</v>
      </c>
      <c r="L51" s="147">
        <v>906867</v>
      </c>
      <c r="M51" s="15" t="s">
        <v>19</v>
      </c>
    </row>
    <row r="52" spans="2:13" x14ac:dyDescent="0.3">
      <c r="B52" s="131">
        <v>44126</v>
      </c>
      <c r="C52" s="132" t="s">
        <v>1418</v>
      </c>
      <c r="D52" s="16" t="s">
        <v>31</v>
      </c>
      <c r="E52" s="86" t="s">
        <v>1142</v>
      </c>
      <c r="F52" s="85" t="s">
        <v>1419</v>
      </c>
      <c r="G52" s="87" t="s">
        <v>1284</v>
      </c>
      <c r="H52" s="180" t="s">
        <v>1420</v>
      </c>
      <c r="I52" s="131" t="s">
        <v>97</v>
      </c>
      <c r="J52" s="333">
        <v>44135</v>
      </c>
      <c r="K52" s="15" t="s">
        <v>39</v>
      </c>
      <c r="L52" s="147">
        <v>9329125</v>
      </c>
      <c r="M52" s="15" t="s">
        <v>19</v>
      </c>
    </row>
    <row r="53" spans="2:13" x14ac:dyDescent="0.3">
      <c r="B53" s="131">
        <v>44127</v>
      </c>
      <c r="C53" s="132" t="s">
        <v>1542</v>
      </c>
      <c r="D53" s="16" t="s">
        <v>31</v>
      </c>
      <c r="E53" s="86" t="s">
        <v>1142</v>
      </c>
      <c r="F53" s="85" t="s">
        <v>1540</v>
      </c>
      <c r="G53" s="87" t="s">
        <v>301</v>
      </c>
      <c r="H53" s="180" t="s">
        <v>32</v>
      </c>
      <c r="I53" s="131" t="s">
        <v>97</v>
      </c>
      <c r="J53" s="333">
        <v>44129</v>
      </c>
      <c r="K53" s="15" t="s">
        <v>39</v>
      </c>
      <c r="L53" s="147">
        <v>15360073</v>
      </c>
      <c r="M53" s="15" t="s">
        <v>19</v>
      </c>
    </row>
    <row r="54" spans="2:13" x14ac:dyDescent="0.3">
      <c r="B54" s="131">
        <v>44135</v>
      </c>
      <c r="C54" s="132" t="s">
        <v>1424</v>
      </c>
      <c r="D54" s="16" t="s">
        <v>36</v>
      </c>
      <c r="E54" s="85" t="s">
        <v>121</v>
      </c>
      <c r="F54" s="85" t="s">
        <v>1425</v>
      </c>
      <c r="G54" s="87" t="s">
        <v>116</v>
      </c>
      <c r="H54" s="180" t="s">
        <v>1442</v>
      </c>
      <c r="I54" s="131" t="s">
        <v>50</v>
      </c>
      <c r="J54" s="333">
        <v>44137</v>
      </c>
      <c r="K54" s="15" t="s">
        <v>33</v>
      </c>
      <c r="L54" s="147">
        <v>2564241</v>
      </c>
      <c r="M54" s="15" t="s">
        <v>19</v>
      </c>
    </row>
    <row r="55" spans="2:13" x14ac:dyDescent="0.3">
      <c r="B55" s="131">
        <v>44132</v>
      </c>
      <c r="C55" s="132" t="s">
        <v>1542</v>
      </c>
      <c r="D55" s="16" t="s">
        <v>31</v>
      </c>
      <c r="E55" s="86" t="s">
        <v>1142</v>
      </c>
      <c r="F55" s="85" t="s">
        <v>1540</v>
      </c>
      <c r="G55" s="87" t="s">
        <v>304</v>
      </c>
      <c r="H55" s="180" t="s">
        <v>38</v>
      </c>
      <c r="I55" s="131" t="s">
        <v>97</v>
      </c>
      <c r="J55" s="333">
        <v>44134</v>
      </c>
      <c r="K55" s="15" t="s">
        <v>39</v>
      </c>
      <c r="L55" s="147">
        <v>17492858</v>
      </c>
      <c r="M55" s="15" t="s">
        <v>19</v>
      </c>
    </row>
    <row r="56" spans="2:13" x14ac:dyDescent="0.3">
      <c r="B56" s="131">
        <v>44128</v>
      </c>
      <c r="C56" s="132" t="s">
        <v>1561</v>
      </c>
      <c r="D56" s="16" t="s">
        <v>31</v>
      </c>
      <c r="E56" s="86" t="s">
        <v>1142</v>
      </c>
      <c r="F56" s="85" t="s">
        <v>1562</v>
      </c>
      <c r="G56" s="87" t="s">
        <v>304</v>
      </c>
      <c r="H56" s="180" t="s">
        <v>37</v>
      </c>
      <c r="I56" s="131" t="s">
        <v>97</v>
      </c>
      <c r="J56" s="333" t="s">
        <v>1595</v>
      </c>
      <c r="K56" s="15" t="s">
        <v>33</v>
      </c>
      <c r="L56" s="147">
        <v>7073413</v>
      </c>
      <c r="M56" s="15" t="s">
        <v>19</v>
      </c>
    </row>
    <row r="57" spans="2:13" x14ac:dyDescent="0.3">
      <c r="B57" s="87">
        <v>44113</v>
      </c>
      <c r="C57" s="153" t="s">
        <v>1360</v>
      </c>
      <c r="D57" s="15" t="s">
        <v>31</v>
      </c>
      <c r="E57" s="86" t="s">
        <v>445</v>
      </c>
      <c r="F57" s="85" t="s">
        <v>1361</v>
      </c>
      <c r="G57" s="87" t="s">
        <v>116</v>
      </c>
      <c r="H57" s="180" t="s">
        <v>35</v>
      </c>
      <c r="I57" s="131" t="s">
        <v>97</v>
      </c>
      <c r="J57" s="331" t="s">
        <v>1362</v>
      </c>
      <c r="K57" s="151" t="s">
        <v>39</v>
      </c>
      <c r="L57" s="147">
        <v>8593501</v>
      </c>
      <c r="M57" s="15" t="s">
        <v>19</v>
      </c>
    </row>
    <row r="58" spans="2:13" x14ac:dyDescent="0.3">
      <c r="B58" s="87">
        <v>44113</v>
      </c>
      <c r="C58" s="153" t="s">
        <v>1363</v>
      </c>
      <c r="D58" s="15" t="s">
        <v>31</v>
      </c>
      <c r="E58" s="86" t="s">
        <v>445</v>
      </c>
      <c r="F58" s="85" t="s">
        <v>1361</v>
      </c>
      <c r="G58" s="87" t="s">
        <v>116</v>
      </c>
      <c r="H58" s="87" t="s">
        <v>35</v>
      </c>
      <c r="I58" s="131" t="s">
        <v>97</v>
      </c>
      <c r="J58" s="331" t="s">
        <v>1362</v>
      </c>
      <c r="K58" s="151" t="s">
        <v>39</v>
      </c>
      <c r="L58" s="147">
        <v>8593501</v>
      </c>
      <c r="M58" s="15" t="s">
        <v>19</v>
      </c>
    </row>
    <row r="59" spans="2:13" x14ac:dyDescent="0.3">
      <c r="B59" s="87">
        <v>44109</v>
      </c>
      <c r="C59" s="153" t="s">
        <v>1348</v>
      </c>
      <c r="D59" s="15" t="s">
        <v>31</v>
      </c>
      <c r="E59" s="86" t="s">
        <v>121</v>
      </c>
      <c r="F59" s="86" t="s">
        <v>126</v>
      </c>
      <c r="G59" s="87" t="s">
        <v>116</v>
      </c>
      <c r="H59" s="180" t="s">
        <v>37</v>
      </c>
      <c r="I59" s="150" t="s">
        <v>97</v>
      </c>
      <c r="J59" s="331">
        <v>44112</v>
      </c>
      <c r="K59" s="15" t="s">
        <v>33</v>
      </c>
      <c r="L59" s="147">
        <v>8366309</v>
      </c>
      <c r="M59" s="15" t="s">
        <v>19</v>
      </c>
    </row>
    <row r="60" spans="2:13" x14ac:dyDescent="0.3">
      <c r="B60" s="87">
        <v>44109</v>
      </c>
      <c r="C60" s="133" t="s">
        <v>1349</v>
      </c>
      <c r="D60" s="15" t="s">
        <v>31</v>
      </c>
      <c r="E60" s="16" t="s">
        <v>121</v>
      </c>
      <c r="F60" s="16" t="s">
        <v>126</v>
      </c>
      <c r="G60" s="87" t="s">
        <v>116</v>
      </c>
      <c r="H60" s="180" t="s">
        <v>37</v>
      </c>
      <c r="I60" s="150" t="s">
        <v>97</v>
      </c>
      <c r="J60" s="331">
        <v>44112</v>
      </c>
      <c r="K60" s="15" t="s">
        <v>33</v>
      </c>
      <c r="L60" s="147">
        <v>8446000</v>
      </c>
      <c r="M60" s="15" t="s">
        <v>19</v>
      </c>
    </row>
    <row r="61" spans="2:13" x14ac:dyDescent="0.3">
      <c r="B61" s="87">
        <v>44109</v>
      </c>
      <c r="C61" s="133" t="s">
        <v>1350</v>
      </c>
      <c r="D61" s="15" t="s">
        <v>31</v>
      </c>
      <c r="E61" s="182" t="s">
        <v>121</v>
      </c>
      <c r="F61" s="16" t="s">
        <v>126</v>
      </c>
      <c r="G61" s="87" t="s">
        <v>116</v>
      </c>
      <c r="H61" s="180" t="s">
        <v>37</v>
      </c>
      <c r="I61" s="150" t="s">
        <v>97</v>
      </c>
      <c r="J61" s="331">
        <v>44112</v>
      </c>
      <c r="K61" s="15" t="s">
        <v>33</v>
      </c>
      <c r="L61" s="147">
        <v>8366309</v>
      </c>
      <c r="M61" s="15" t="s">
        <v>19</v>
      </c>
    </row>
    <row r="62" spans="2:13" x14ac:dyDescent="0.3">
      <c r="B62" s="87">
        <v>44109</v>
      </c>
      <c r="C62" s="133" t="s">
        <v>1351</v>
      </c>
      <c r="D62" s="15" t="s">
        <v>31</v>
      </c>
      <c r="E62" s="337" t="s">
        <v>121</v>
      </c>
      <c r="F62" s="85" t="s">
        <v>126</v>
      </c>
      <c r="G62" s="87" t="s">
        <v>116</v>
      </c>
      <c r="H62" s="180" t="s">
        <v>37</v>
      </c>
      <c r="I62" s="150" t="s">
        <v>97</v>
      </c>
      <c r="J62" s="331">
        <v>44112</v>
      </c>
      <c r="K62" s="15" t="s">
        <v>33</v>
      </c>
      <c r="L62" s="147">
        <v>8366309</v>
      </c>
      <c r="M62" s="15" t="s">
        <v>19</v>
      </c>
    </row>
    <row r="63" spans="2:13" x14ac:dyDescent="0.3">
      <c r="B63" s="87">
        <v>44109</v>
      </c>
      <c r="C63" s="133" t="s">
        <v>1352</v>
      </c>
      <c r="D63" s="15" t="s">
        <v>31</v>
      </c>
      <c r="E63" s="85" t="s">
        <v>121</v>
      </c>
      <c r="F63" s="85" t="s">
        <v>126</v>
      </c>
      <c r="G63" s="87" t="s">
        <v>116</v>
      </c>
      <c r="H63" s="180" t="s">
        <v>37</v>
      </c>
      <c r="I63" s="150" t="s">
        <v>97</v>
      </c>
      <c r="J63" s="331">
        <v>44112</v>
      </c>
      <c r="K63" s="15" t="s">
        <v>33</v>
      </c>
      <c r="L63" s="147">
        <v>16497051</v>
      </c>
      <c r="M63" s="15" t="s">
        <v>19</v>
      </c>
    </row>
    <row r="64" spans="2:13" x14ac:dyDescent="0.3">
      <c r="B64" s="87">
        <v>44109</v>
      </c>
      <c r="C64" s="133" t="s">
        <v>1353</v>
      </c>
      <c r="D64" s="15" t="s">
        <v>31</v>
      </c>
      <c r="E64" s="337" t="s">
        <v>121</v>
      </c>
      <c r="F64" s="85" t="s">
        <v>126</v>
      </c>
      <c r="G64" s="87" t="s">
        <v>116</v>
      </c>
      <c r="H64" s="180" t="s">
        <v>37</v>
      </c>
      <c r="I64" s="150" t="s">
        <v>97</v>
      </c>
      <c r="J64" s="331">
        <v>44112</v>
      </c>
      <c r="K64" s="15" t="s">
        <v>33</v>
      </c>
      <c r="L64" s="147">
        <v>8366309</v>
      </c>
      <c r="M64" s="15" t="s">
        <v>19</v>
      </c>
    </row>
    <row r="65" spans="2:13" x14ac:dyDescent="0.3">
      <c r="B65" s="87">
        <v>44109</v>
      </c>
      <c r="C65" s="133" t="s">
        <v>1352</v>
      </c>
      <c r="D65" s="86" t="s">
        <v>31</v>
      </c>
      <c r="E65" s="337" t="s">
        <v>121</v>
      </c>
      <c r="F65" s="15" t="s">
        <v>126</v>
      </c>
      <c r="G65" s="87" t="s">
        <v>1354</v>
      </c>
      <c r="H65" s="180" t="s">
        <v>37</v>
      </c>
      <c r="I65" s="152" t="s">
        <v>97</v>
      </c>
      <c r="J65" s="332">
        <v>44112</v>
      </c>
      <c r="K65" s="15" t="s">
        <v>33</v>
      </c>
      <c r="L65" s="147">
        <v>990000</v>
      </c>
      <c r="M65" s="15" t="s">
        <v>19</v>
      </c>
    </row>
    <row r="66" spans="2:13" x14ac:dyDescent="0.3">
      <c r="B66" s="131">
        <v>44135</v>
      </c>
      <c r="C66" s="132" t="s">
        <v>1427</v>
      </c>
      <c r="D66" s="16" t="s">
        <v>36</v>
      </c>
      <c r="E66" s="85" t="s">
        <v>121</v>
      </c>
      <c r="F66" s="85" t="s">
        <v>1425</v>
      </c>
      <c r="G66" s="87" t="s">
        <v>116</v>
      </c>
      <c r="H66" s="180" t="s">
        <v>1442</v>
      </c>
      <c r="I66" s="131" t="s">
        <v>50</v>
      </c>
      <c r="J66" s="333">
        <v>44137</v>
      </c>
      <c r="K66" s="15" t="s">
        <v>33</v>
      </c>
      <c r="L66" s="147">
        <v>2564241</v>
      </c>
      <c r="M66" s="15" t="s">
        <v>19</v>
      </c>
    </row>
    <row r="67" spans="2:13" x14ac:dyDescent="0.3">
      <c r="B67" s="131">
        <v>44127</v>
      </c>
      <c r="C67" s="132" t="s">
        <v>1543</v>
      </c>
      <c r="D67" s="16" t="s">
        <v>36</v>
      </c>
      <c r="E67" s="86" t="s">
        <v>445</v>
      </c>
      <c r="F67" s="85" t="s">
        <v>1544</v>
      </c>
      <c r="G67" s="87" t="s">
        <v>301</v>
      </c>
      <c r="H67" s="180" t="s">
        <v>1204</v>
      </c>
      <c r="I67" s="131" t="s">
        <v>81</v>
      </c>
      <c r="J67" s="333" t="s">
        <v>1587</v>
      </c>
      <c r="K67" s="15" t="s">
        <v>1148</v>
      </c>
      <c r="L67" s="147">
        <v>336000</v>
      </c>
      <c r="M67" s="15" t="s">
        <v>19</v>
      </c>
    </row>
    <row r="68" spans="2:13" x14ac:dyDescent="0.3">
      <c r="B68" s="131">
        <v>44125</v>
      </c>
      <c r="C68" s="132" t="s">
        <v>1524</v>
      </c>
      <c r="D68" s="16" t="s">
        <v>36</v>
      </c>
      <c r="E68" s="85" t="s">
        <v>121</v>
      </c>
      <c r="F68" s="85" t="s">
        <v>1203</v>
      </c>
      <c r="G68" s="87" t="s">
        <v>304</v>
      </c>
      <c r="H68" s="180" t="s">
        <v>1525</v>
      </c>
      <c r="I68" s="131" t="s">
        <v>81</v>
      </c>
      <c r="J68" s="333">
        <v>44125</v>
      </c>
      <c r="K68" s="15" t="s">
        <v>1148</v>
      </c>
      <c r="L68" s="147">
        <v>152320</v>
      </c>
      <c r="M68" s="15" t="s">
        <v>19</v>
      </c>
    </row>
    <row r="69" spans="2:13" x14ac:dyDescent="0.3">
      <c r="B69" s="131">
        <v>44125</v>
      </c>
      <c r="C69" s="132" t="s">
        <v>1526</v>
      </c>
      <c r="D69" s="16" t="s">
        <v>36</v>
      </c>
      <c r="E69" s="85" t="s">
        <v>121</v>
      </c>
      <c r="F69" s="85" t="s">
        <v>1203</v>
      </c>
      <c r="G69" s="87" t="s">
        <v>304</v>
      </c>
      <c r="H69" s="180" t="s">
        <v>1525</v>
      </c>
      <c r="I69" s="131" t="s">
        <v>81</v>
      </c>
      <c r="J69" s="333">
        <v>44125</v>
      </c>
      <c r="K69" s="15" t="s">
        <v>1148</v>
      </c>
      <c r="L69" s="147">
        <v>81370</v>
      </c>
      <c r="M69" s="15" t="s">
        <v>19</v>
      </c>
    </row>
    <row r="70" spans="2:13" x14ac:dyDescent="0.3">
      <c r="B70" s="131">
        <v>44127</v>
      </c>
      <c r="C70" s="132" t="s">
        <v>1539</v>
      </c>
      <c r="D70" s="16" t="s">
        <v>36</v>
      </c>
      <c r="E70" s="85" t="s">
        <v>308</v>
      </c>
      <c r="F70" s="85" t="s">
        <v>1540</v>
      </c>
      <c r="G70" s="87" t="s">
        <v>301</v>
      </c>
      <c r="H70" s="180" t="s">
        <v>1502</v>
      </c>
      <c r="I70" s="131" t="s">
        <v>81</v>
      </c>
      <c r="J70" s="333">
        <v>44128</v>
      </c>
      <c r="K70" s="15" t="s">
        <v>33</v>
      </c>
      <c r="L70" s="147">
        <v>923676</v>
      </c>
      <c r="M70" s="15" t="s">
        <v>19</v>
      </c>
    </row>
    <row r="71" spans="2:13" x14ac:dyDescent="0.3">
      <c r="B71" s="131">
        <v>44127</v>
      </c>
      <c r="C71" s="132" t="s">
        <v>1541</v>
      </c>
      <c r="D71" s="16" t="s">
        <v>36</v>
      </c>
      <c r="E71" s="85" t="s">
        <v>308</v>
      </c>
      <c r="F71" s="85" t="s">
        <v>1540</v>
      </c>
      <c r="G71" s="87" t="s">
        <v>301</v>
      </c>
      <c r="H71" s="180" t="s">
        <v>1502</v>
      </c>
      <c r="I71" s="131" t="s">
        <v>81</v>
      </c>
      <c r="J71" s="333">
        <v>44128</v>
      </c>
      <c r="K71" s="15" t="s">
        <v>33</v>
      </c>
      <c r="L71" s="147">
        <v>923676</v>
      </c>
      <c r="M71" s="15" t="s">
        <v>19</v>
      </c>
    </row>
    <row r="72" spans="2:13" x14ac:dyDescent="0.3">
      <c r="B72" s="131">
        <v>44123</v>
      </c>
      <c r="C72" s="132" t="s">
        <v>1494</v>
      </c>
      <c r="D72" s="16" t="s">
        <v>36</v>
      </c>
      <c r="E72" s="85" t="s">
        <v>1495</v>
      </c>
      <c r="F72" s="85" t="s">
        <v>1203</v>
      </c>
      <c r="G72" s="87" t="s">
        <v>301</v>
      </c>
      <c r="H72" s="180" t="s">
        <v>1456</v>
      </c>
      <c r="I72" s="131" t="s">
        <v>81</v>
      </c>
      <c r="J72" s="333" t="s">
        <v>1582</v>
      </c>
      <c r="K72" s="15" t="s">
        <v>33</v>
      </c>
      <c r="L72" s="147">
        <v>1580890</v>
      </c>
      <c r="M72" s="15" t="s">
        <v>19</v>
      </c>
    </row>
    <row r="73" spans="2:13" x14ac:dyDescent="0.3">
      <c r="B73" s="131">
        <v>44123</v>
      </c>
      <c r="C73" s="132" t="s">
        <v>1496</v>
      </c>
      <c r="D73" s="16" t="s">
        <v>36</v>
      </c>
      <c r="E73" s="85" t="s">
        <v>1495</v>
      </c>
      <c r="F73" s="85" t="s">
        <v>1203</v>
      </c>
      <c r="G73" s="87" t="s">
        <v>301</v>
      </c>
      <c r="H73" s="180" t="s">
        <v>1456</v>
      </c>
      <c r="I73" s="131" t="s">
        <v>81</v>
      </c>
      <c r="J73" s="333" t="s">
        <v>1582</v>
      </c>
      <c r="K73" s="15" t="s">
        <v>33</v>
      </c>
      <c r="L73" s="147">
        <v>1580890</v>
      </c>
      <c r="M73" s="15" t="s">
        <v>19</v>
      </c>
    </row>
    <row r="74" spans="2:13" x14ac:dyDescent="0.3">
      <c r="B74" s="131">
        <v>44123</v>
      </c>
      <c r="C74" s="132" t="s">
        <v>1497</v>
      </c>
      <c r="D74" s="16" t="s">
        <v>36</v>
      </c>
      <c r="E74" s="85" t="s">
        <v>1495</v>
      </c>
      <c r="F74" s="85" t="s">
        <v>1203</v>
      </c>
      <c r="G74" s="87" t="s">
        <v>301</v>
      </c>
      <c r="H74" s="180" t="s">
        <v>1456</v>
      </c>
      <c r="I74" s="131" t="s">
        <v>81</v>
      </c>
      <c r="J74" s="333" t="s">
        <v>1582</v>
      </c>
      <c r="K74" s="15" t="s">
        <v>33</v>
      </c>
      <c r="L74" s="147">
        <v>1580890</v>
      </c>
      <c r="M74" s="15" t="s">
        <v>19</v>
      </c>
    </row>
    <row r="75" spans="2:13" x14ac:dyDescent="0.3">
      <c r="B75" s="131">
        <v>44123</v>
      </c>
      <c r="C75" s="132" t="s">
        <v>1498</v>
      </c>
      <c r="D75" s="16" t="s">
        <v>36</v>
      </c>
      <c r="E75" s="85" t="s">
        <v>1495</v>
      </c>
      <c r="F75" s="85" t="s">
        <v>1203</v>
      </c>
      <c r="G75" s="87" t="s">
        <v>301</v>
      </c>
      <c r="H75" s="180" t="s">
        <v>1456</v>
      </c>
      <c r="I75" s="131" t="s">
        <v>81</v>
      </c>
      <c r="J75" s="333" t="s">
        <v>1582</v>
      </c>
      <c r="K75" s="15" t="s">
        <v>33</v>
      </c>
      <c r="L75" s="147">
        <v>1556380</v>
      </c>
      <c r="M75" s="15" t="s">
        <v>19</v>
      </c>
    </row>
    <row r="76" spans="2:13" x14ac:dyDescent="0.3">
      <c r="B76" s="131">
        <v>44123</v>
      </c>
      <c r="C76" s="132" t="s">
        <v>1499</v>
      </c>
      <c r="D76" s="16" t="s">
        <v>36</v>
      </c>
      <c r="E76" s="85" t="s">
        <v>1495</v>
      </c>
      <c r="F76" s="85" t="s">
        <v>1203</v>
      </c>
      <c r="G76" s="87" t="s">
        <v>301</v>
      </c>
      <c r="H76" s="180" t="s">
        <v>1456</v>
      </c>
      <c r="I76" s="131" t="s">
        <v>81</v>
      </c>
      <c r="J76" s="333" t="s">
        <v>1582</v>
      </c>
      <c r="K76" s="15" t="s">
        <v>33</v>
      </c>
      <c r="L76" s="147">
        <v>1556380</v>
      </c>
      <c r="M76" s="15" t="s">
        <v>19</v>
      </c>
    </row>
    <row r="77" spans="2:13" x14ac:dyDescent="0.3">
      <c r="B77" s="131">
        <v>44123</v>
      </c>
      <c r="C77" s="132" t="s">
        <v>1500</v>
      </c>
      <c r="D77" s="16" t="s">
        <v>36</v>
      </c>
      <c r="E77" s="85" t="s">
        <v>1495</v>
      </c>
      <c r="F77" s="85" t="s">
        <v>1203</v>
      </c>
      <c r="G77" s="87" t="s">
        <v>301</v>
      </c>
      <c r="H77" s="180" t="s">
        <v>781</v>
      </c>
      <c r="I77" s="131" t="s">
        <v>81</v>
      </c>
      <c r="J77" s="333" t="s">
        <v>1583</v>
      </c>
      <c r="K77" s="15" t="s">
        <v>33</v>
      </c>
      <c r="L77" s="147">
        <v>3161780</v>
      </c>
      <c r="M77" s="15" t="s">
        <v>19</v>
      </c>
    </row>
    <row r="78" spans="2:13" x14ac:dyDescent="0.3">
      <c r="B78" s="131">
        <v>44123</v>
      </c>
      <c r="C78" s="132" t="s">
        <v>1501</v>
      </c>
      <c r="D78" s="16" t="s">
        <v>36</v>
      </c>
      <c r="E78" s="85" t="s">
        <v>1495</v>
      </c>
      <c r="F78" s="85" t="s">
        <v>1203</v>
      </c>
      <c r="G78" s="87" t="s">
        <v>301</v>
      </c>
      <c r="H78" s="180" t="s">
        <v>1502</v>
      </c>
      <c r="I78" s="131" t="s">
        <v>81</v>
      </c>
      <c r="J78" s="333">
        <v>44125</v>
      </c>
      <c r="K78" s="15" t="s">
        <v>33</v>
      </c>
      <c r="L78" s="147">
        <v>931377</v>
      </c>
      <c r="M78" s="15" t="s">
        <v>19</v>
      </c>
    </row>
    <row r="79" spans="2:13" x14ac:dyDescent="0.3">
      <c r="B79" s="131">
        <v>44123</v>
      </c>
      <c r="C79" s="132" t="s">
        <v>1503</v>
      </c>
      <c r="D79" s="16" t="s">
        <v>36</v>
      </c>
      <c r="E79" s="85" t="s">
        <v>1495</v>
      </c>
      <c r="F79" s="85" t="s">
        <v>1203</v>
      </c>
      <c r="G79" s="87" t="s">
        <v>301</v>
      </c>
      <c r="H79" s="180" t="s">
        <v>1502</v>
      </c>
      <c r="I79" s="131" t="s">
        <v>81</v>
      </c>
      <c r="J79" s="333">
        <v>44125</v>
      </c>
      <c r="K79" s="15" t="s">
        <v>33</v>
      </c>
      <c r="L79" s="147">
        <v>931377</v>
      </c>
      <c r="M79" s="15" t="s">
        <v>19</v>
      </c>
    </row>
    <row r="80" spans="2:13" x14ac:dyDescent="0.3">
      <c r="B80" s="131">
        <v>44123</v>
      </c>
      <c r="C80" s="132" t="s">
        <v>1497</v>
      </c>
      <c r="D80" s="16" t="s">
        <v>36</v>
      </c>
      <c r="E80" s="85" t="s">
        <v>1495</v>
      </c>
      <c r="F80" s="85" t="s">
        <v>1203</v>
      </c>
      <c r="G80" s="87" t="s">
        <v>301</v>
      </c>
      <c r="H80" s="180" t="s">
        <v>781</v>
      </c>
      <c r="I80" s="131" t="s">
        <v>81</v>
      </c>
      <c r="J80" s="333" t="s">
        <v>1584</v>
      </c>
      <c r="K80" s="15" t="s">
        <v>33</v>
      </c>
      <c r="L80" s="147">
        <v>85785</v>
      </c>
      <c r="M80" s="15" t="s">
        <v>19</v>
      </c>
    </row>
    <row r="81" spans="2:13" x14ac:dyDescent="0.3">
      <c r="B81" s="131">
        <v>44123</v>
      </c>
      <c r="C81" s="132" t="s">
        <v>1504</v>
      </c>
      <c r="D81" s="16" t="s">
        <v>36</v>
      </c>
      <c r="E81" s="85" t="s">
        <v>1495</v>
      </c>
      <c r="F81" s="85" t="s">
        <v>1203</v>
      </c>
      <c r="G81" s="87" t="s">
        <v>301</v>
      </c>
      <c r="H81" s="180" t="s">
        <v>781</v>
      </c>
      <c r="I81" s="131" t="s">
        <v>81</v>
      </c>
      <c r="J81" s="333" t="s">
        <v>1583</v>
      </c>
      <c r="K81" s="15" t="s">
        <v>33</v>
      </c>
      <c r="L81" s="147">
        <v>1813734</v>
      </c>
      <c r="M81" s="15" t="s">
        <v>19</v>
      </c>
    </row>
    <row r="82" spans="2:13" x14ac:dyDescent="0.3">
      <c r="B82" s="131">
        <v>44123</v>
      </c>
      <c r="C82" s="132" t="s">
        <v>1505</v>
      </c>
      <c r="D82" s="16" t="s">
        <v>36</v>
      </c>
      <c r="E82" s="85" t="s">
        <v>1495</v>
      </c>
      <c r="F82" s="85" t="s">
        <v>1203</v>
      </c>
      <c r="G82" s="87" t="s">
        <v>301</v>
      </c>
      <c r="H82" s="180" t="s">
        <v>1502</v>
      </c>
      <c r="I82" s="131" t="s">
        <v>81</v>
      </c>
      <c r="J82" s="333">
        <v>44125</v>
      </c>
      <c r="K82" s="15" t="s">
        <v>33</v>
      </c>
      <c r="L82" s="147">
        <v>931377</v>
      </c>
      <c r="M82" s="15" t="s">
        <v>19</v>
      </c>
    </row>
    <row r="83" spans="2:13" x14ac:dyDescent="0.3">
      <c r="B83" s="131">
        <v>44123</v>
      </c>
      <c r="C83" s="132" t="s">
        <v>1506</v>
      </c>
      <c r="D83" s="16" t="s">
        <v>36</v>
      </c>
      <c r="E83" s="85" t="s">
        <v>1495</v>
      </c>
      <c r="F83" s="85" t="s">
        <v>1203</v>
      </c>
      <c r="G83" s="87" t="s">
        <v>301</v>
      </c>
      <c r="H83" s="180" t="s">
        <v>1507</v>
      </c>
      <c r="I83" s="131" t="s">
        <v>81</v>
      </c>
      <c r="J83" s="333">
        <v>44126</v>
      </c>
      <c r="K83" s="15" t="s">
        <v>33</v>
      </c>
      <c r="L83" s="147">
        <v>906867</v>
      </c>
      <c r="M83" s="15" t="s">
        <v>19</v>
      </c>
    </row>
    <row r="84" spans="2:13" x14ac:dyDescent="0.3">
      <c r="B84" s="131">
        <v>44123</v>
      </c>
      <c r="C84" s="132" t="s">
        <v>1506</v>
      </c>
      <c r="D84" s="16" t="s">
        <v>36</v>
      </c>
      <c r="E84" s="85" t="s">
        <v>1495</v>
      </c>
      <c r="F84" s="85" t="s">
        <v>1203</v>
      </c>
      <c r="G84" s="87" t="s">
        <v>301</v>
      </c>
      <c r="H84" s="180" t="s">
        <v>1502</v>
      </c>
      <c r="I84" s="131" t="s">
        <v>81</v>
      </c>
      <c r="J84" s="333">
        <v>44125</v>
      </c>
      <c r="K84" s="15" t="s">
        <v>33</v>
      </c>
      <c r="L84" s="147">
        <v>931377</v>
      </c>
      <c r="M84" s="15" t="s">
        <v>19</v>
      </c>
    </row>
    <row r="85" spans="2:13" x14ac:dyDescent="0.3">
      <c r="B85" s="131">
        <v>44123</v>
      </c>
      <c r="C85" s="132" t="s">
        <v>1508</v>
      </c>
      <c r="D85" s="16" t="s">
        <v>36</v>
      </c>
      <c r="E85" s="85" t="s">
        <v>1495</v>
      </c>
      <c r="F85" s="85" t="s">
        <v>1203</v>
      </c>
      <c r="G85" s="87" t="s">
        <v>301</v>
      </c>
      <c r="H85" s="180" t="s">
        <v>1509</v>
      </c>
      <c r="I85" s="131" t="s">
        <v>81</v>
      </c>
      <c r="J85" s="333" t="s">
        <v>1584</v>
      </c>
      <c r="K85" s="15" t="s">
        <v>33</v>
      </c>
      <c r="L85" s="147">
        <v>1556380</v>
      </c>
      <c r="M85" s="15" t="s">
        <v>19</v>
      </c>
    </row>
    <row r="86" spans="2:13" x14ac:dyDescent="0.3">
      <c r="B86" s="131">
        <v>44123</v>
      </c>
      <c r="C86" s="132" t="s">
        <v>1510</v>
      </c>
      <c r="D86" s="16" t="s">
        <v>36</v>
      </c>
      <c r="E86" s="85" t="s">
        <v>1495</v>
      </c>
      <c r="F86" s="85" t="s">
        <v>1203</v>
      </c>
      <c r="G86" s="87" t="s">
        <v>301</v>
      </c>
      <c r="H86" s="180" t="s">
        <v>781</v>
      </c>
      <c r="I86" s="131" t="s">
        <v>81</v>
      </c>
      <c r="J86" s="333" t="s">
        <v>1583</v>
      </c>
      <c r="K86" s="15" t="s">
        <v>33</v>
      </c>
      <c r="L86" s="147">
        <v>1433830</v>
      </c>
      <c r="M86" s="15" t="s">
        <v>19</v>
      </c>
    </row>
    <row r="87" spans="2:13" x14ac:dyDescent="0.3">
      <c r="B87" s="131">
        <v>44123</v>
      </c>
      <c r="C87" s="132" t="s">
        <v>1511</v>
      </c>
      <c r="D87" s="16" t="s">
        <v>36</v>
      </c>
      <c r="E87" s="85" t="s">
        <v>1495</v>
      </c>
      <c r="F87" s="85" t="s">
        <v>1203</v>
      </c>
      <c r="G87" s="87" t="s">
        <v>301</v>
      </c>
      <c r="H87" s="180" t="s">
        <v>1502</v>
      </c>
      <c r="I87" s="131" t="s">
        <v>81</v>
      </c>
      <c r="J87" s="333">
        <v>44125</v>
      </c>
      <c r="K87" s="15" t="s">
        <v>33</v>
      </c>
      <c r="L87" s="147">
        <v>931377</v>
      </c>
      <c r="M87" s="15" t="s">
        <v>19</v>
      </c>
    </row>
    <row r="88" spans="2:13" x14ac:dyDescent="0.3">
      <c r="B88" s="131">
        <v>44123</v>
      </c>
      <c r="C88" s="132" t="s">
        <v>1512</v>
      </c>
      <c r="D88" s="16" t="s">
        <v>36</v>
      </c>
      <c r="E88" s="85" t="s">
        <v>1495</v>
      </c>
      <c r="F88" s="85" t="s">
        <v>1203</v>
      </c>
      <c r="G88" s="87" t="s">
        <v>301</v>
      </c>
      <c r="H88" s="180" t="s">
        <v>1502</v>
      </c>
      <c r="I88" s="131" t="s">
        <v>81</v>
      </c>
      <c r="J88" s="333">
        <v>44125</v>
      </c>
      <c r="K88" s="15" t="s">
        <v>33</v>
      </c>
      <c r="L88" s="147">
        <v>931377</v>
      </c>
      <c r="M88" s="15" t="s">
        <v>19</v>
      </c>
    </row>
    <row r="89" spans="2:13" x14ac:dyDescent="0.3">
      <c r="B89" s="131">
        <v>44123</v>
      </c>
      <c r="C89" s="132" t="s">
        <v>1494</v>
      </c>
      <c r="D89" s="16" t="s">
        <v>36</v>
      </c>
      <c r="E89" s="85" t="s">
        <v>1495</v>
      </c>
      <c r="F89" s="85" t="s">
        <v>1203</v>
      </c>
      <c r="G89" s="87" t="s">
        <v>301</v>
      </c>
      <c r="H89" s="180" t="s">
        <v>781</v>
      </c>
      <c r="I89" s="131" t="s">
        <v>81</v>
      </c>
      <c r="J89" s="333" t="s">
        <v>1583</v>
      </c>
      <c r="K89" s="15" t="s">
        <v>33</v>
      </c>
      <c r="L89" s="147">
        <v>232844</v>
      </c>
      <c r="M89" s="15" t="s">
        <v>19</v>
      </c>
    </row>
    <row r="90" spans="2:13" x14ac:dyDescent="0.3">
      <c r="B90" s="131">
        <v>44123</v>
      </c>
      <c r="C90" s="132" t="s">
        <v>1494</v>
      </c>
      <c r="D90" s="16" t="s">
        <v>36</v>
      </c>
      <c r="E90" s="85" t="s">
        <v>1495</v>
      </c>
      <c r="F90" s="85" t="s">
        <v>1203</v>
      </c>
      <c r="G90" s="87" t="s">
        <v>301</v>
      </c>
      <c r="H90" s="180" t="s">
        <v>781</v>
      </c>
      <c r="I90" s="131" t="s">
        <v>81</v>
      </c>
      <c r="J90" s="333" t="s">
        <v>1584</v>
      </c>
      <c r="K90" s="15" t="s">
        <v>33</v>
      </c>
      <c r="L90" s="147">
        <v>85785</v>
      </c>
      <c r="M90" s="15" t="s">
        <v>19</v>
      </c>
    </row>
    <row r="91" spans="2:13" x14ac:dyDescent="0.3">
      <c r="B91" s="131">
        <v>44123</v>
      </c>
      <c r="C91" s="132" t="s">
        <v>1513</v>
      </c>
      <c r="D91" s="16" t="s">
        <v>36</v>
      </c>
      <c r="E91" s="85" t="s">
        <v>1495</v>
      </c>
      <c r="F91" s="85" t="s">
        <v>1203</v>
      </c>
      <c r="G91" s="87" t="s">
        <v>301</v>
      </c>
      <c r="H91" s="180" t="s">
        <v>1502</v>
      </c>
      <c r="I91" s="131" t="s">
        <v>81</v>
      </c>
      <c r="J91" s="333">
        <v>44125</v>
      </c>
      <c r="K91" s="15" t="s">
        <v>33</v>
      </c>
      <c r="L91" s="147">
        <v>931377</v>
      </c>
      <c r="M91" s="15" t="s">
        <v>19</v>
      </c>
    </row>
    <row r="92" spans="2:13" x14ac:dyDescent="0.3">
      <c r="B92" s="131">
        <v>44123</v>
      </c>
      <c r="C92" s="132" t="s">
        <v>1514</v>
      </c>
      <c r="D92" s="16" t="s">
        <v>36</v>
      </c>
      <c r="E92" s="85" t="s">
        <v>1495</v>
      </c>
      <c r="F92" s="85" t="s">
        <v>1203</v>
      </c>
      <c r="G92" s="87" t="s">
        <v>301</v>
      </c>
      <c r="H92" s="180" t="s">
        <v>1502</v>
      </c>
      <c r="I92" s="131" t="s">
        <v>81</v>
      </c>
      <c r="J92" s="333">
        <v>44125</v>
      </c>
      <c r="K92" s="15" t="s">
        <v>33</v>
      </c>
      <c r="L92" s="147">
        <v>931377</v>
      </c>
      <c r="M92" s="15" t="s">
        <v>19</v>
      </c>
    </row>
    <row r="93" spans="2:13" x14ac:dyDescent="0.3">
      <c r="B93" s="131">
        <v>44123</v>
      </c>
      <c r="C93" s="132" t="s">
        <v>599</v>
      </c>
      <c r="D93" s="16" t="s">
        <v>36</v>
      </c>
      <c r="E93" s="85" t="s">
        <v>1495</v>
      </c>
      <c r="F93" s="85" t="s">
        <v>1203</v>
      </c>
      <c r="G93" s="87" t="s">
        <v>301</v>
      </c>
      <c r="H93" s="180" t="s">
        <v>1502</v>
      </c>
      <c r="I93" s="131" t="s">
        <v>81</v>
      </c>
      <c r="J93" s="333">
        <v>44125</v>
      </c>
      <c r="K93" s="15" t="s">
        <v>33</v>
      </c>
      <c r="L93" s="147">
        <v>931377</v>
      </c>
      <c r="M93" s="15" t="s">
        <v>19</v>
      </c>
    </row>
    <row r="94" spans="2:13" x14ac:dyDescent="0.3">
      <c r="B94" s="131">
        <v>44123</v>
      </c>
      <c r="C94" s="132" t="s">
        <v>1516</v>
      </c>
      <c r="D94" s="16" t="s">
        <v>36</v>
      </c>
      <c r="E94" s="85" t="s">
        <v>1495</v>
      </c>
      <c r="F94" s="85" t="s">
        <v>1203</v>
      </c>
      <c r="G94" s="87" t="s">
        <v>301</v>
      </c>
      <c r="H94" s="180" t="s">
        <v>781</v>
      </c>
      <c r="I94" s="131" t="s">
        <v>81</v>
      </c>
      <c r="J94" s="333" t="s">
        <v>1583</v>
      </c>
      <c r="K94" s="15" t="s">
        <v>33</v>
      </c>
      <c r="L94" s="147">
        <v>1813734</v>
      </c>
      <c r="M94" s="15" t="s">
        <v>19</v>
      </c>
    </row>
    <row r="95" spans="2:13" x14ac:dyDescent="0.3">
      <c r="B95" s="131">
        <v>44123</v>
      </c>
      <c r="C95" s="132" t="s">
        <v>1517</v>
      </c>
      <c r="D95" s="16" t="s">
        <v>36</v>
      </c>
      <c r="E95" s="85" t="s">
        <v>1495</v>
      </c>
      <c r="F95" s="85" t="s">
        <v>1203</v>
      </c>
      <c r="G95" s="87" t="s">
        <v>301</v>
      </c>
      <c r="H95" s="180" t="s">
        <v>1502</v>
      </c>
      <c r="I95" s="131" t="s">
        <v>81</v>
      </c>
      <c r="J95" s="333">
        <v>44125</v>
      </c>
      <c r="K95" s="15" t="s">
        <v>33</v>
      </c>
      <c r="L95" s="147">
        <v>931377</v>
      </c>
      <c r="M95" s="15" t="s">
        <v>19</v>
      </c>
    </row>
    <row r="96" spans="2:13" x14ac:dyDescent="0.3">
      <c r="B96" s="131">
        <v>44123</v>
      </c>
      <c r="C96" s="132" t="s">
        <v>1498</v>
      </c>
      <c r="D96" s="16" t="s">
        <v>36</v>
      </c>
      <c r="E96" s="85" t="s">
        <v>1495</v>
      </c>
      <c r="F96" s="85" t="s">
        <v>1203</v>
      </c>
      <c r="G96" s="87" t="s">
        <v>301</v>
      </c>
      <c r="H96" s="180" t="s">
        <v>781</v>
      </c>
      <c r="I96" s="131" t="s">
        <v>81</v>
      </c>
      <c r="J96" s="333" t="s">
        <v>1583</v>
      </c>
      <c r="K96" s="15" t="s">
        <v>33</v>
      </c>
      <c r="L96" s="147">
        <v>85785</v>
      </c>
      <c r="M96" s="15" t="s">
        <v>19</v>
      </c>
    </row>
    <row r="97" spans="2:13" x14ac:dyDescent="0.3">
      <c r="B97" s="87">
        <v>44109</v>
      </c>
      <c r="C97" s="133" t="s">
        <v>1348</v>
      </c>
      <c r="D97" s="86" t="s">
        <v>31</v>
      </c>
      <c r="E97" s="85" t="s">
        <v>121</v>
      </c>
      <c r="F97" s="16" t="s">
        <v>126</v>
      </c>
      <c r="G97" s="87" t="s">
        <v>1354</v>
      </c>
      <c r="H97" s="180" t="s">
        <v>37</v>
      </c>
      <c r="I97" s="152" t="s">
        <v>97</v>
      </c>
      <c r="J97" s="332">
        <v>44112</v>
      </c>
      <c r="K97" s="15" t="s">
        <v>33</v>
      </c>
      <c r="L97" s="147">
        <v>990000</v>
      </c>
      <c r="M97" s="15" t="s">
        <v>19</v>
      </c>
    </row>
    <row r="98" spans="2:13" x14ac:dyDescent="0.3">
      <c r="B98" s="131">
        <v>44123</v>
      </c>
      <c r="C98" s="132" t="s">
        <v>1518</v>
      </c>
      <c r="D98" s="16" t="s">
        <v>36</v>
      </c>
      <c r="E98" s="85" t="s">
        <v>1495</v>
      </c>
      <c r="F98" s="85" t="s">
        <v>1203</v>
      </c>
      <c r="G98" s="87" t="s">
        <v>301</v>
      </c>
      <c r="H98" s="180" t="s">
        <v>1502</v>
      </c>
      <c r="I98" s="131" t="s">
        <v>81</v>
      </c>
      <c r="J98" s="333">
        <v>44125</v>
      </c>
      <c r="K98" s="15" t="s">
        <v>33</v>
      </c>
      <c r="L98" s="147">
        <v>931377</v>
      </c>
      <c r="M98" s="15" t="s">
        <v>19</v>
      </c>
    </row>
    <row r="99" spans="2:13" x14ac:dyDescent="0.3">
      <c r="B99" s="131">
        <v>44123</v>
      </c>
      <c r="C99" s="132" t="s">
        <v>1520</v>
      </c>
      <c r="D99" s="16" t="s">
        <v>36</v>
      </c>
      <c r="E99" s="85" t="s">
        <v>1495</v>
      </c>
      <c r="F99" s="85" t="s">
        <v>1203</v>
      </c>
      <c r="G99" s="87" t="s">
        <v>301</v>
      </c>
      <c r="H99" s="180" t="s">
        <v>781</v>
      </c>
      <c r="I99" s="131" t="s">
        <v>81</v>
      </c>
      <c r="J99" s="333" t="s">
        <v>1583</v>
      </c>
      <c r="K99" s="15" t="s">
        <v>33</v>
      </c>
      <c r="L99" s="147">
        <v>1813734</v>
      </c>
      <c r="M99" s="15" t="s">
        <v>19</v>
      </c>
    </row>
    <row r="100" spans="2:13" x14ac:dyDescent="0.3">
      <c r="B100" s="87">
        <v>44109</v>
      </c>
      <c r="C100" s="132" t="s">
        <v>1349</v>
      </c>
      <c r="D100" s="16" t="s">
        <v>31</v>
      </c>
      <c r="E100" s="85" t="s">
        <v>121</v>
      </c>
      <c r="F100" s="85" t="s">
        <v>126</v>
      </c>
      <c r="G100" s="87" t="s">
        <v>1354</v>
      </c>
      <c r="H100" s="180" t="s">
        <v>37</v>
      </c>
      <c r="I100" s="131" t="s">
        <v>97</v>
      </c>
      <c r="J100" s="333">
        <v>44112</v>
      </c>
      <c r="K100" s="15" t="s">
        <v>33</v>
      </c>
      <c r="L100" s="147">
        <v>990000</v>
      </c>
      <c r="M100" s="15" t="s">
        <v>19</v>
      </c>
    </row>
    <row r="101" spans="2:13" x14ac:dyDescent="0.3">
      <c r="B101" s="131">
        <v>44123</v>
      </c>
      <c r="C101" s="132" t="s">
        <v>1496</v>
      </c>
      <c r="D101" s="16" t="s">
        <v>36</v>
      </c>
      <c r="E101" s="85" t="s">
        <v>1495</v>
      </c>
      <c r="F101" s="85" t="s">
        <v>1203</v>
      </c>
      <c r="G101" s="87" t="s">
        <v>301</v>
      </c>
      <c r="H101" s="180" t="s">
        <v>781</v>
      </c>
      <c r="I101" s="131" t="s">
        <v>81</v>
      </c>
      <c r="J101" s="333" t="s">
        <v>1584</v>
      </c>
      <c r="K101" s="15" t="s">
        <v>33</v>
      </c>
      <c r="L101" s="147">
        <v>85785</v>
      </c>
      <c r="M101" s="15" t="s">
        <v>19</v>
      </c>
    </row>
    <row r="102" spans="2:13" x14ac:dyDescent="0.3">
      <c r="B102" s="131">
        <v>44123</v>
      </c>
      <c r="C102" s="132" t="s">
        <v>1521</v>
      </c>
      <c r="D102" s="16" t="s">
        <v>36</v>
      </c>
      <c r="E102" s="85" t="s">
        <v>1495</v>
      </c>
      <c r="F102" s="85" t="s">
        <v>1203</v>
      </c>
      <c r="G102" s="87" t="s">
        <v>301</v>
      </c>
      <c r="H102" s="180" t="s">
        <v>1502</v>
      </c>
      <c r="I102" s="131" t="s">
        <v>81</v>
      </c>
      <c r="J102" s="333">
        <v>44125</v>
      </c>
      <c r="K102" s="15" t="s">
        <v>33</v>
      </c>
      <c r="L102" s="147">
        <v>931377</v>
      </c>
      <c r="M102" s="15" t="s">
        <v>19</v>
      </c>
    </row>
    <row r="103" spans="2:13" x14ac:dyDescent="0.3">
      <c r="B103" s="131">
        <v>44123</v>
      </c>
      <c r="C103" s="132" t="s">
        <v>1499</v>
      </c>
      <c r="D103" s="16" t="s">
        <v>36</v>
      </c>
      <c r="E103" s="85" t="s">
        <v>1495</v>
      </c>
      <c r="F103" s="85" t="s">
        <v>1203</v>
      </c>
      <c r="G103" s="87" t="s">
        <v>301</v>
      </c>
      <c r="H103" s="180" t="s">
        <v>781</v>
      </c>
      <c r="I103" s="131" t="s">
        <v>81</v>
      </c>
      <c r="J103" s="333" t="s">
        <v>1583</v>
      </c>
      <c r="K103" s="15" t="s">
        <v>33</v>
      </c>
      <c r="L103" s="147">
        <v>85785</v>
      </c>
      <c r="M103" s="15" t="s">
        <v>19</v>
      </c>
    </row>
    <row r="104" spans="2:13" x14ac:dyDescent="0.3">
      <c r="B104" s="131">
        <v>44125</v>
      </c>
      <c r="C104" s="132" t="s">
        <v>1522</v>
      </c>
      <c r="D104" s="16" t="s">
        <v>36</v>
      </c>
      <c r="E104" s="85" t="s">
        <v>1495</v>
      </c>
      <c r="F104" s="85" t="s">
        <v>1203</v>
      </c>
      <c r="G104" s="87" t="s">
        <v>301</v>
      </c>
      <c r="H104" s="180" t="s">
        <v>1523</v>
      </c>
      <c r="I104" s="131" t="s">
        <v>81</v>
      </c>
      <c r="J104" s="333" t="s">
        <v>1586</v>
      </c>
      <c r="K104" s="15" t="s">
        <v>33</v>
      </c>
      <c r="L104" s="147">
        <v>1774430</v>
      </c>
      <c r="M104" s="15" t="s">
        <v>19</v>
      </c>
    </row>
    <row r="105" spans="2:13" x14ac:dyDescent="0.3">
      <c r="B105" s="87">
        <v>44109</v>
      </c>
      <c r="C105" s="132" t="s">
        <v>1350</v>
      </c>
      <c r="D105" s="16" t="s">
        <v>31</v>
      </c>
      <c r="E105" s="85" t="s">
        <v>121</v>
      </c>
      <c r="F105" s="85" t="s">
        <v>126</v>
      </c>
      <c r="G105" s="87" t="s">
        <v>1354</v>
      </c>
      <c r="H105" s="180" t="s">
        <v>37</v>
      </c>
      <c r="I105" s="131" t="s">
        <v>97</v>
      </c>
      <c r="J105" s="333">
        <v>44112</v>
      </c>
      <c r="K105" s="15" t="s">
        <v>33</v>
      </c>
      <c r="L105" s="147">
        <v>990000</v>
      </c>
      <c r="M105" s="15" t="s">
        <v>19</v>
      </c>
    </row>
    <row r="106" spans="2:13" x14ac:dyDescent="0.3">
      <c r="B106" s="87">
        <v>44109</v>
      </c>
      <c r="C106" s="132" t="s">
        <v>1351</v>
      </c>
      <c r="D106" s="16" t="s">
        <v>31</v>
      </c>
      <c r="E106" s="85" t="s">
        <v>121</v>
      </c>
      <c r="F106" s="85" t="s">
        <v>126</v>
      </c>
      <c r="G106" s="87" t="s">
        <v>1354</v>
      </c>
      <c r="H106" s="180" t="s">
        <v>37</v>
      </c>
      <c r="I106" s="131" t="s">
        <v>97</v>
      </c>
      <c r="J106" s="333">
        <v>44112</v>
      </c>
      <c r="K106" s="15" t="s">
        <v>33</v>
      </c>
      <c r="L106" s="147">
        <v>990000</v>
      </c>
      <c r="M106" s="15" t="s">
        <v>19</v>
      </c>
    </row>
    <row r="107" spans="2:13" x14ac:dyDescent="0.3">
      <c r="B107" s="131">
        <v>44126</v>
      </c>
      <c r="C107" s="132" t="s">
        <v>1496</v>
      </c>
      <c r="D107" s="16" t="s">
        <v>36</v>
      </c>
      <c r="E107" s="85" t="s">
        <v>1495</v>
      </c>
      <c r="F107" s="85" t="s">
        <v>1203</v>
      </c>
      <c r="G107" s="87" t="s">
        <v>301</v>
      </c>
      <c r="H107" s="180" t="s">
        <v>1507</v>
      </c>
      <c r="I107" s="131" t="s">
        <v>81</v>
      </c>
      <c r="J107" s="333">
        <v>44126</v>
      </c>
      <c r="K107" s="15" t="s">
        <v>33</v>
      </c>
      <c r="L107" s="147">
        <v>232439</v>
      </c>
      <c r="M107" s="15" t="s">
        <v>19</v>
      </c>
    </row>
    <row r="108" spans="2:13" x14ac:dyDescent="0.3">
      <c r="B108" s="131">
        <v>44126</v>
      </c>
      <c r="C108" s="132" t="s">
        <v>1513</v>
      </c>
      <c r="D108" s="16" t="s">
        <v>36</v>
      </c>
      <c r="E108" s="85" t="s">
        <v>1495</v>
      </c>
      <c r="F108" s="85" t="s">
        <v>1203</v>
      </c>
      <c r="G108" s="87" t="s">
        <v>301</v>
      </c>
      <c r="H108" s="180" t="s">
        <v>1507</v>
      </c>
      <c r="I108" s="131" t="s">
        <v>81</v>
      </c>
      <c r="J108" s="333">
        <v>44126</v>
      </c>
      <c r="K108" s="15" t="s">
        <v>33</v>
      </c>
      <c r="L108" s="147">
        <v>1555665</v>
      </c>
      <c r="M108" s="15" t="s">
        <v>19</v>
      </c>
    </row>
    <row r="109" spans="2:13" x14ac:dyDescent="0.3">
      <c r="B109" s="131">
        <v>44126</v>
      </c>
      <c r="C109" s="132" t="s">
        <v>757</v>
      </c>
      <c r="D109" s="16" t="s">
        <v>36</v>
      </c>
      <c r="E109" s="85" t="s">
        <v>1495</v>
      </c>
      <c r="F109" s="85" t="s">
        <v>1203</v>
      </c>
      <c r="G109" s="87" t="s">
        <v>301</v>
      </c>
      <c r="H109" s="180" t="s">
        <v>1507</v>
      </c>
      <c r="I109" s="131" t="s">
        <v>81</v>
      </c>
      <c r="J109" s="333">
        <v>44126</v>
      </c>
      <c r="K109" s="15" t="s">
        <v>33</v>
      </c>
      <c r="L109" s="147">
        <v>1555665</v>
      </c>
      <c r="M109" s="15" t="s">
        <v>19</v>
      </c>
    </row>
    <row r="110" spans="2:13" x14ac:dyDescent="0.3">
      <c r="B110" s="131">
        <v>44126</v>
      </c>
      <c r="C110" s="132" t="s">
        <v>1497</v>
      </c>
      <c r="D110" s="16" t="s">
        <v>36</v>
      </c>
      <c r="E110" s="85" t="s">
        <v>1495</v>
      </c>
      <c r="F110" s="85" t="s">
        <v>1203</v>
      </c>
      <c r="G110" s="87" t="s">
        <v>301</v>
      </c>
      <c r="H110" s="180" t="s">
        <v>1507</v>
      </c>
      <c r="I110" s="131" t="s">
        <v>81</v>
      </c>
      <c r="J110" s="333">
        <v>44128</v>
      </c>
      <c r="K110" s="15" t="s">
        <v>33</v>
      </c>
      <c r="L110" s="147">
        <v>183824</v>
      </c>
      <c r="M110" s="15" t="s">
        <v>19</v>
      </c>
    </row>
    <row r="111" spans="2:13" x14ac:dyDescent="0.3">
      <c r="B111" s="131">
        <v>44133</v>
      </c>
      <c r="C111" s="132" t="s">
        <v>1559</v>
      </c>
      <c r="D111" s="16" t="s">
        <v>31</v>
      </c>
      <c r="E111" s="85" t="s">
        <v>121</v>
      </c>
      <c r="F111" s="85" t="s">
        <v>1203</v>
      </c>
      <c r="G111" s="87" t="s">
        <v>301</v>
      </c>
      <c r="H111" s="180" t="s">
        <v>37</v>
      </c>
      <c r="I111" s="131" t="s">
        <v>97</v>
      </c>
      <c r="J111" s="333" t="s">
        <v>1593</v>
      </c>
      <c r="K111" s="15" t="s">
        <v>39</v>
      </c>
      <c r="L111" s="147">
        <v>21786503</v>
      </c>
      <c r="M111" s="15" t="s">
        <v>19</v>
      </c>
    </row>
    <row r="112" spans="2:13" x14ac:dyDescent="0.3">
      <c r="B112" s="131">
        <v>44113</v>
      </c>
      <c r="C112" s="133" t="s">
        <v>1389</v>
      </c>
      <c r="D112" s="15" t="s">
        <v>31</v>
      </c>
      <c r="E112" s="86" t="s">
        <v>432</v>
      </c>
      <c r="F112" s="85" t="s">
        <v>1390</v>
      </c>
      <c r="G112" s="87" t="s">
        <v>116</v>
      </c>
      <c r="H112" s="180" t="s">
        <v>35</v>
      </c>
      <c r="I112" s="150" t="s">
        <v>97</v>
      </c>
      <c r="J112" s="331" t="s">
        <v>1391</v>
      </c>
      <c r="K112" s="15" t="s">
        <v>33</v>
      </c>
      <c r="L112" s="147">
        <v>9238026</v>
      </c>
      <c r="M112" s="15" t="s">
        <v>19</v>
      </c>
    </row>
    <row r="113" spans="2:13" x14ac:dyDescent="0.3">
      <c r="B113" s="131">
        <v>44110</v>
      </c>
      <c r="C113" s="132" t="s">
        <v>1459</v>
      </c>
      <c r="D113" s="16" t="s">
        <v>31</v>
      </c>
      <c r="E113" s="85" t="s">
        <v>308</v>
      </c>
      <c r="F113" s="85" t="s">
        <v>1460</v>
      </c>
      <c r="G113" s="87" t="s">
        <v>301</v>
      </c>
      <c r="H113" s="180" t="s">
        <v>32</v>
      </c>
      <c r="I113" s="131" t="s">
        <v>97</v>
      </c>
      <c r="J113" s="333">
        <v>44113</v>
      </c>
      <c r="K113" s="15" t="s">
        <v>39</v>
      </c>
      <c r="L113" s="147">
        <v>6182508</v>
      </c>
      <c r="M113" s="15" t="s">
        <v>19</v>
      </c>
    </row>
    <row r="114" spans="2:13" x14ac:dyDescent="0.3">
      <c r="B114" s="131">
        <v>44110</v>
      </c>
      <c r="C114" s="132" t="s">
        <v>1461</v>
      </c>
      <c r="D114" s="16" t="s">
        <v>31</v>
      </c>
      <c r="E114" s="85" t="s">
        <v>308</v>
      </c>
      <c r="F114" s="85" t="s">
        <v>1460</v>
      </c>
      <c r="G114" s="87" t="s">
        <v>301</v>
      </c>
      <c r="H114" s="180" t="s">
        <v>32</v>
      </c>
      <c r="I114" s="131" t="s">
        <v>97</v>
      </c>
      <c r="J114" s="333">
        <v>44117</v>
      </c>
      <c r="K114" s="15" t="s">
        <v>39</v>
      </c>
      <c r="L114" s="147">
        <v>8850144</v>
      </c>
      <c r="M114" s="15" t="s">
        <v>19</v>
      </c>
    </row>
    <row r="115" spans="2:13" x14ac:dyDescent="0.3">
      <c r="B115" s="131">
        <v>44105</v>
      </c>
      <c r="C115" s="132" t="s">
        <v>1195</v>
      </c>
      <c r="D115" s="16" t="s">
        <v>31</v>
      </c>
      <c r="E115" s="85" t="s">
        <v>434</v>
      </c>
      <c r="F115" s="85" t="s">
        <v>906</v>
      </c>
      <c r="G115" s="87" t="s">
        <v>301</v>
      </c>
      <c r="H115" s="180" t="s">
        <v>32</v>
      </c>
      <c r="I115" s="131" t="s">
        <v>97</v>
      </c>
      <c r="J115" s="333">
        <v>44111</v>
      </c>
      <c r="K115" s="15" t="s">
        <v>39</v>
      </c>
      <c r="L115" s="147">
        <v>3952000</v>
      </c>
      <c r="M115" s="15" t="s">
        <v>19</v>
      </c>
    </row>
    <row r="116" spans="2:13" x14ac:dyDescent="0.3">
      <c r="B116" s="131">
        <v>44105</v>
      </c>
      <c r="C116" s="132" t="s">
        <v>1445</v>
      </c>
      <c r="D116" s="16" t="s">
        <v>31</v>
      </c>
      <c r="E116" s="85" t="s">
        <v>434</v>
      </c>
      <c r="F116" s="85" t="s">
        <v>906</v>
      </c>
      <c r="G116" s="87" t="s">
        <v>301</v>
      </c>
      <c r="H116" s="180" t="s">
        <v>32</v>
      </c>
      <c r="I116" s="131" t="s">
        <v>97</v>
      </c>
      <c r="J116" s="333">
        <v>44111</v>
      </c>
      <c r="K116" s="15" t="s">
        <v>39</v>
      </c>
      <c r="L116" s="147">
        <v>3952000</v>
      </c>
      <c r="M116" s="15" t="s">
        <v>19</v>
      </c>
    </row>
    <row r="117" spans="2:13" x14ac:dyDescent="0.3">
      <c r="B117" s="131">
        <v>44105</v>
      </c>
      <c r="C117" s="132" t="s">
        <v>1446</v>
      </c>
      <c r="D117" s="16" t="s">
        <v>31</v>
      </c>
      <c r="E117" s="85" t="s">
        <v>434</v>
      </c>
      <c r="F117" s="85" t="s">
        <v>906</v>
      </c>
      <c r="G117" s="87" t="s">
        <v>301</v>
      </c>
      <c r="H117" s="180" t="s">
        <v>32</v>
      </c>
      <c r="I117" s="131" t="s">
        <v>97</v>
      </c>
      <c r="J117" s="333">
        <v>44111</v>
      </c>
      <c r="K117" s="15" t="s">
        <v>39</v>
      </c>
      <c r="L117" s="147">
        <v>3952000</v>
      </c>
      <c r="M117" s="15" t="s">
        <v>19</v>
      </c>
    </row>
    <row r="118" spans="2:13" x14ac:dyDescent="0.3">
      <c r="B118" s="131">
        <v>44105</v>
      </c>
      <c r="C118" s="132" t="s">
        <v>1447</v>
      </c>
      <c r="D118" s="16" t="s">
        <v>31</v>
      </c>
      <c r="E118" s="85" t="s">
        <v>434</v>
      </c>
      <c r="F118" s="85" t="s">
        <v>906</v>
      </c>
      <c r="G118" s="87" t="s">
        <v>301</v>
      </c>
      <c r="H118" s="180" t="s">
        <v>32</v>
      </c>
      <c r="I118" s="131" t="s">
        <v>97</v>
      </c>
      <c r="J118" s="333">
        <v>44111</v>
      </c>
      <c r="K118" s="15" t="s">
        <v>39</v>
      </c>
      <c r="L118" s="147">
        <v>3952000</v>
      </c>
      <c r="M118" s="15" t="s">
        <v>19</v>
      </c>
    </row>
    <row r="119" spans="2:13" x14ac:dyDescent="0.3">
      <c r="B119" s="131">
        <v>44105</v>
      </c>
      <c r="C119" s="132" t="s">
        <v>1196</v>
      </c>
      <c r="D119" s="16" t="s">
        <v>31</v>
      </c>
      <c r="E119" s="85" t="s">
        <v>434</v>
      </c>
      <c r="F119" s="85" t="s">
        <v>906</v>
      </c>
      <c r="G119" s="87" t="s">
        <v>301</v>
      </c>
      <c r="H119" s="180" t="s">
        <v>32</v>
      </c>
      <c r="I119" s="131" t="s">
        <v>97</v>
      </c>
      <c r="J119" s="333">
        <v>44111</v>
      </c>
      <c r="K119" s="15" t="s">
        <v>39</v>
      </c>
      <c r="L119" s="147">
        <v>3952000</v>
      </c>
      <c r="M119" s="15" t="s">
        <v>19</v>
      </c>
    </row>
    <row r="120" spans="2:13" x14ac:dyDescent="0.3">
      <c r="B120" s="131">
        <v>44105</v>
      </c>
      <c r="C120" s="132" t="s">
        <v>1012</v>
      </c>
      <c r="D120" s="16" t="s">
        <v>31</v>
      </c>
      <c r="E120" s="85" t="s">
        <v>434</v>
      </c>
      <c r="F120" s="85" t="s">
        <v>906</v>
      </c>
      <c r="G120" s="87" t="s">
        <v>301</v>
      </c>
      <c r="H120" s="180" t="s">
        <v>32</v>
      </c>
      <c r="I120" s="131" t="s">
        <v>97</v>
      </c>
      <c r="J120" s="333">
        <v>44111</v>
      </c>
      <c r="K120" s="15" t="s">
        <v>39</v>
      </c>
      <c r="L120" s="147">
        <v>3952000</v>
      </c>
      <c r="M120" s="15" t="s">
        <v>19</v>
      </c>
    </row>
    <row r="121" spans="2:13" x14ac:dyDescent="0.3">
      <c r="B121" s="131">
        <v>44105</v>
      </c>
      <c r="C121" s="132" t="s">
        <v>1448</v>
      </c>
      <c r="D121" s="16" t="s">
        <v>31</v>
      </c>
      <c r="E121" s="85" t="s">
        <v>434</v>
      </c>
      <c r="F121" s="85" t="s">
        <v>906</v>
      </c>
      <c r="G121" s="87" t="s">
        <v>301</v>
      </c>
      <c r="H121" s="180" t="s">
        <v>32</v>
      </c>
      <c r="I121" s="131" t="s">
        <v>97</v>
      </c>
      <c r="J121" s="333">
        <v>44111</v>
      </c>
      <c r="K121" s="15" t="s">
        <v>39</v>
      </c>
      <c r="L121" s="147">
        <v>3952000</v>
      </c>
      <c r="M121" s="15" t="s">
        <v>19</v>
      </c>
    </row>
    <row r="122" spans="2:13" x14ac:dyDescent="0.3">
      <c r="B122" s="131">
        <v>44126</v>
      </c>
      <c r="C122" s="132" t="s">
        <v>1527</v>
      </c>
      <c r="D122" s="16" t="s">
        <v>36</v>
      </c>
      <c r="E122" s="85" t="s">
        <v>1495</v>
      </c>
      <c r="F122" s="85" t="s">
        <v>1203</v>
      </c>
      <c r="G122" s="87" t="s">
        <v>301</v>
      </c>
      <c r="H122" s="180" t="s">
        <v>1507</v>
      </c>
      <c r="I122" s="131" t="s">
        <v>81</v>
      </c>
      <c r="J122" s="333">
        <v>44128</v>
      </c>
      <c r="K122" s="15" t="s">
        <v>33</v>
      </c>
      <c r="L122" s="147">
        <v>24308</v>
      </c>
      <c r="M122" s="15" t="s">
        <v>19</v>
      </c>
    </row>
    <row r="123" spans="2:13" x14ac:dyDescent="0.3">
      <c r="B123" s="131">
        <v>44126</v>
      </c>
      <c r="C123" s="132" t="s">
        <v>1528</v>
      </c>
      <c r="D123" s="16" t="s">
        <v>36</v>
      </c>
      <c r="E123" s="85" t="s">
        <v>1495</v>
      </c>
      <c r="F123" s="85" t="s">
        <v>1203</v>
      </c>
      <c r="G123" s="87" t="s">
        <v>301</v>
      </c>
      <c r="H123" s="180" t="s">
        <v>1529</v>
      </c>
      <c r="I123" s="131" t="s">
        <v>81</v>
      </c>
      <c r="J123" s="333" t="s">
        <v>1585</v>
      </c>
      <c r="K123" s="15" t="s">
        <v>33</v>
      </c>
      <c r="L123" s="147">
        <v>2467187</v>
      </c>
      <c r="M123" s="15" t="s">
        <v>19</v>
      </c>
    </row>
    <row r="124" spans="2:13" x14ac:dyDescent="0.3">
      <c r="B124" s="131">
        <v>44127</v>
      </c>
      <c r="C124" s="132" t="s">
        <v>1536</v>
      </c>
      <c r="D124" s="16" t="s">
        <v>36</v>
      </c>
      <c r="E124" s="85" t="s">
        <v>1495</v>
      </c>
      <c r="F124" s="85" t="s">
        <v>1203</v>
      </c>
      <c r="G124" s="87" t="s">
        <v>304</v>
      </c>
      <c r="H124" s="180" t="s">
        <v>1507</v>
      </c>
      <c r="I124" s="131" t="s">
        <v>81</v>
      </c>
      <c r="J124" s="333">
        <v>44128</v>
      </c>
      <c r="K124" s="15" t="s">
        <v>33</v>
      </c>
      <c r="L124" s="147">
        <v>899369</v>
      </c>
      <c r="M124" s="15" t="s">
        <v>19</v>
      </c>
    </row>
    <row r="125" spans="2:13" x14ac:dyDescent="0.3">
      <c r="B125" s="131">
        <v>44127</v>
      </c>
      <c r="C125" s="132" t="s">
        <v>1537</v>
      </c>
      <c r="D125" s="16" t="s">
        <v>36</v>
      </c>
      <c r="E125" s="85" t="s">
        <v>1495</v>
      </c>
      <c r="F125" s="85" t="s">
        <v>1203</v>
      </c>
      <c r="G125" s="87" t="s">
        <v>304</v>
      </c>
      <c r="H125" s="180" t="s">
        <v>1507</v>
      </c>
      <c r="I125" s="131" t="s">
        <v>81</v>
      </c>
      <c r="J125" s="333">
        <v>44128</v>
      </c>
      <c r="K125" s="15" t="s">
        <v>33</v>
      </c>
      <c r="L125" s="147">
        <v>899369</v>
      </c>
      <c r="M125" s="15" t="s">
        <v>19</v>
      </c>
    </row>
    <row r="126" spans="2:13" x14ac:dyDescent="0.3">
      <c r="B126" s="131">
        <v>44130</v>
      </c>
      <c r="C126" s="132" t="s">
        <v>1546</v>
      </c>
      <c r="D126" s="16" t="s">
        <v>36</v>
      </c>
      <c r="E126" s="85" t="s">
        <v>1495</v>
      </c>
      <c r="F126" s="85" t="s">
        <v>1203</v>
      </c>
      <c r="G126" s="87" t="s">
        <v>304</v>
      </c>
      <c r="H126" s="180" t="s">
        <v>1538</v>
      </c>
      <c r="I126" s="131" t="s">
        <v>81</v>
      </c>
      <c r="J126" s="333">
        <v>44131</v>
      </c>
      <c r="K126" s="15" t="s">
        <v>33</v>
      </c>
      <c r="L126" s="147">
        <v>644143</v>
      </c>
      <c r="M126" s="15" t="s">
        <v>19</v>
      </c>
    </row>
    <row r="127" spans="2:13" x14ac:dyDescent="0.3">
      <c r="B127" s="131">
        <v>44131</v>
      </c>
      <c r="C127" s="132" t="s">
        <v>1547</v>
      </c>
      <c r="D127" s="16" t="s">
        <v>36</v>
      </c>
      <c r="E127" s="85" t="s">
        <v>1495</v>
      </c>
      <c r="F127" s="85" t="s">
        <v>1203</v>
      </c>
      <c r="G127" s="87" t="s">
        <v>301</v>
      </c>
      <c r="H127" s="180" t="s">
        <v>781</v>
      </c>
      <c r="I127" s="131" t="s">
        <v>81</v>
      </c>
      <c r="J127" s="333" t="s">
        <v>1588</v>
      </c>
      <c r="K127" s="15" t="s">
        <v>33</v>
      </c>
      <c r="L127" s="147">
        <v>2924017</v>
      </c>
      <c r="M127" s="15" t="s">
        <v>19</v>
      </c>
    </row>
    <row r="128" spans="2:13" x14ac:dyDescent="0.3">
      <c r="B128" s="131">
        <v>44131</v>
      </c>
      <c r="C128" s="132" t="s">
        <v>1548</v>
      </c>
      <c r="D128" s="16" t="s">
        <v>36</v>
      </c>
      <c r="E128" s="85" t="s">
        <v>1495</v>
      </c>
      <c r="F128" s="85" t="s">
        <v>1203</v>
      </c>
      <c r="G128" s="87" t="s">
        <v>301</v>
      </c>
      <c r="H128" s="180" t="s">
        <v>781</v>
      </c>
      <c r="I128" s="131" t="s">
        <v>81</v>
      </c>
      <c r="J128" s="333" t="s">
        <v>1588</v>
      </c>
      <c r="K128" s="15" t="s">
        <v>33</v>
      </c>
      <c r="L128" s="147">
        <v>1376008</v>
      </c>
      <c r="M128" s="15" t="s">
        <v>19</v>
      </c>
    </row>
    <row r="129" spans="2:13" x14ac:dyDescent="0.3">
      <c r="B129" s="131">
        <v>44131</v>
      </c>
      <c r="C129" s="132" t="s">
        <v>1494</v>
      </c>
      <c r="D129" s="16" t="s">
        <v>36</v>
      </c>
      <c r="E129" s="85" t="s">
        <v>1495</v>
      </c>
      <c r="F129" s="85" t="s">
        <v>1203</v>
      </c>
      <c r="G129" s="87" t="s">
        <v>301</v>
      </c>
      <c r="H129" s="180" t="s">
        <v>781</v>
      </c>
      <c r="I129" s="131" t="s">
        <v>81</v>
      </c>
      <c r="J129" s="333" t="s">
        <v>1588</v>
      </c>
      <c r="K129" s="15" t="s">
        <v>33</v>
      </c>
      <c r="L129" s="147">
        <v>1376008</v>
      </c>
      <c r="M129" s="15" t="s">
        <v>19</v>
      </c>
    </row>
    <row r="130" spans="2:13" x14ac:dyDescent="0.3">
      <c r="B130" s="131">
        <v>44131</v>
      </c>
      <c r="C130" s="132" t="s">
        <v>1549</v>
      </c>
      <c r="D130" s="16" t="s">
        <v>36</v>
      </c>
      <c r="E130" s="85" t="s">
        <v>1495</v>
      </c>
      <c r="F130" s="85" t="s">
        <v>1203</v>
      </c>
      <c r="G130" s="87" t="s">
        <v>301</v>
      </c>
      <c r="H130" s="180" t="s">
        <v>781</v>
      </c>
      <c r="I130" s="131" t="s">
        <v>81</v>
      </c>
      <c r="J130" s="333" t="s">
        <v>1589</v>
      </c>
      <c r="K130" s="15" t="s">
        <v>33</v>
      </c>
      <c r="L130" s="147">
        <v>1351437</v>
      </c>
      <c r="M130" s="15" t="s">
        <v>19</v>
      </c>
    </row>
    <row r="131" spans="2:13" x14ac:dyDescent="0.3">
      <c r="B131" s="131">
        <v>44131</v>
      </c>
      <c r="C131" s="132" t="s">
        <v>1553</v>
      </c>
      <c r="D131" s="16" t="s">
        <v>36</v>
      </c>
      <c r="E131" s="85" t="s">
        <v>1495</v>
      </c>
      <c r="F131" s="85" t="s">
        <v>1203</v>
      </c>
      <c r="G131" s="87" t="s">
        <v>301</v>
      </c>
      <c r="H131" s="180" t="s">
        <v>1523</v>
      </c>
      <c r="I131" s="131" t="s">
        <v>81</v>
      </c>
      <c r="J131" s="333" t="s">
        <v>1591</v>
      </c>
      <c r="K131" s="15" t="s">
        <v>33</v>
      </c>
      <c r="L131" s="147">
        <v>1584867</v>
      </c>
      <c r="M131" s="15" t="s">
        <v>19</v>
      </c>
    </row>
    <row r="132" spans="2:13" x14ac:dyDescent="0.3">
      <c r="B132" s="131">
        <v>44131</v>
      </c>
      <c r="C132" s="132" t="s">
        <v>1554</v>
      </c>
      <c r="D132" s="16" t="s">
        <v>36</v>
      </c>
      <c r="E132" s="85" t="s">
        <v>1495</v>
      </c>
      <c r="F132" s="85" t="s">
        <v>1203</v>
      </c>
      <c r="G132" s="87" t="s">
        <v>301</v>
      </c>
      <c r="H132" s="180" t="s">
        <v>1523</v>
      </c>
      <c r="I132" s="131" t="s">
        <v>81</v>
      </c>
      <c r="J132" s="333" t="s">
        <v>1591</v>
      </c>
      <c r="K132" s="15" t="s">
        <v>33</v>
      </c>
      <c r="L132" s="147">
        <v>1584867</v>
      </c>
      <c r="M132" s="15" t="s">
        <v>19</v>
      </c>
    </row>
    <row r="133" spans="2:13" x14ac:dyDescent="0.3">
      <c r="B133" s="131">
        <v>44132</v>
      </c>
      <c r="C133" s="132" t="s">
        <v>1556</v>
      </c>
      <c r="D133" s="16" t="s">
        <v>36</v>
      </c>
      <c r="E133" s="85" t="s">
        <v>1495</v>
      </c>
      <c r="F133" s="85" t="s">
        <v>1203</v>
      </c>
      <c r="G133" s="87" t="s">
        <v>304</v>
      </c>
      <c r="H133" s="180" t="s">
        <v>1507</v>
      </c>
      <c r="I133" s="131" t="s">
        <v>81</v>
      </c>
      <c r="J133" s="333">
        <v>44135</v>
      </c>
      <c r="K133" s="15" t="s">
        <v>33</v>
      </c>
      <c r="L133" s="147">
        <v>700290</v>
      </c>
      <c r="M133" s="15" t="s">
        <v>19</v>
      </c>
    </row>
    <row r="134" spans="2:13" x14ac:dyDescent="0.3">
      <c r="B134" s="131">
        <v>44135</v>
      </c>
      <c r="C134" s="132" t="s">
        <v>1572</v>
      </c>
      <c r="D134" s="16" t="s">
        <v>36</v>
      </c>
      <c r="E134" s="85" t="s">
        <v>1495</v>
      </c>
      <c r="F134" s="85" t="s">
        <v>1203</v>
      </c>
      <c r="G134" s="87" t="s">
        <v>301</v>
      </c>
      <c r="H134" s="180" t="s">
        <v>1502</v>
      </c>
      <c r="I134" s="131" t="s">
        <v>81</v>
      </c>
      <c r="J134" s="333">
        <v>44137</v>
      </c>
      <c r="K134" s="15" t="s">
        <v>1148</v>
      </c>
      <c r="L134" s="147">
        <v>161650</v>
      </c>
      <c r="M134" s="15" t="s">
        <v>19</v>
      </c>
    </row>
    <row r="135" spans="2:13" x14ac:dyDescent="0.3">
      <c r="B135" s="131">
        <v>44105</v>
      </c>
      <c r="C135" s="132" t="s">
        <v>1449</v>
      </c>
      <c r="D135" s="16" t="s">
        <v>31</v>
      </c>
      <c r="E135" s="85" t="s">
        <v>434</v>
      </c>
      <c r="F135" s="85" t="s">
        <v>906</v>
      </c>
      <c r="G135" s="87" t="s">
        <v>301</v>
      </c>
      <c r="H135" s="180" t="s">
        <v>32</v>
      </c>
      <c r="I135" s="131" t="s">
        <v>97</v>
      </c>
      <c r="J135" s="333">
        <v>44111</v>
      </c>
      <c r="K135" s="15" t="s">
        <v>39</v>
      </c>
      <c r="L135" s="147">
        <v>3952000</v>
      </c>
      <c r="M135" s="15" t="s">
        <v>19</v>
      </c>
    </row>
    <row r="136" spans="2:13" x14ac:dyDescent="0.3">
      <c r="B136" s="131"/>
      <c r="C136" s="132"/>
      <c r="D136" s="16"/>
      <c r="E136" s="85"/>
      <c r="F136" s="85"/>
      <c r="G136" s="87"/>
      <c r="H136" s="180"/>
      <c r="I136" s="131"/>
      <c r="J136" s="333"/>
      <c r="K136" s="15"/>
      <c r="L136" s="147"/>
      <c r="M136" s="15"/>
    </row>
    <row r="137" spans="2:13" x14ac:dyDescent="0.3">
      <c r="B137" s="131">
        <v>44105</v>
      </c>
      <c r="C137" s="132" t="s">
        <v>1450</v>
      </c>
      <c r="D137" s="16" t="s">
        <v>31</v>
      </c>
      <c r="E137" s="85" t="s">
        <v>434</v>
      </c>
      <c r="F137" s="85" t="s">
        <v>906</v>
      </c>
      <c r="G137" s="87" t="s">
        <v>301</v>
      </c>
      <c r="H137" s="180" t="s">
        <v>32</v>
      </c>
      <c r="I137" s="131" t="s">
        <v>97</v>
      </c>
      <c r="J137" s="333">
        <v>44111</v>
      </c>
      <c r="K137" s="15" t="s">
        <v>39</v>
      </c>
      <c r="L137" s="147">
        <v>3952000</v>
      </c>
      <c r="M137" s="15" t="s">
        <v>19</v>
      </c>
    </row>
    <row r="138" spans="2:13" x14ac:dyDescent="0.3">
      <c r="B138" s="131">
        <v>44105</v>
      </c>
      <c r="C138" s="132" t="s">
        <v>1451</v>
      </c>
      <c r="D138" s="16" t="s">
        <v>31</v>
      </c>
      <c r="E138" s="85" t="s">
        <v>434</v>
      </c>
      <c r="F138" s="85" t="s">
        <v>906</v>
      </c>
      <c r="G138" s="87" t="s">
        <v>301</v>
      </c>
      <c r="H138" s="180" t="s">
        <v>32</v>
      </c>
      <c r="I138" s="131" t="s">
        <v>97</v>
      </c>
      <c r="J138" s="333">
        <v>44111</v>
      </c>
      <c r="K138" s="15" t="s">
        <v>39</v>
      </c>
      <c r="L138" s="147">
        <v>3952000</v>
      </c>
      <c r="M138" s="15" t="s">
        <v>20</v>
      </c>
    </row>
    <row r="139" spans="2:13" x14ac:dyDescent="0.3">
      <c r="B139" s="131"/>
      <c r="C139" s="132"/>
      <c r="D139" s="16"/>
      <c r="E139" s="85"/>
      <c r="F139" s="85"/>
      <c r="G139" s="87"/>
      <c r="H139" s="180"/>
      <c r="I139" s="131"/>
      <c r="J139" s="333"/>
      <c r="K139" s="15"/>
      <c r="L139" s="147"/>
      <c r="M139" s="15"/>
    </row>
    <row r="140" spans="2:13" x14ac:dyDescent="0.3">
      <c r="B140" s="131">
        <v>44110</v>
      </c>
      <c r="C140" s="132" t="s">
        <v>1457</v>
      </c>
      <c r="D140" s="16" t="s">
        <v>31</v>
      </c>
      <c r="E140" s="85" t="s">
        <v>434</v>
      </c>
      <c r="F140" s="85" t="s">
        <v>1013</v>
      </c>
      <c r="G140" s="87" t="s">
        <v>304</v>
      </c>
      <c r="H140" s="180" t="s">
        <v>1458</v>
      </c>
      <c r="I140" s="131" t="s">
        <v>97</v>
      </c>
      <c r="J140" s="333" t="s">
        <v>1574</v>
      </c>
      <c r="K140" s="15" t="s">
        <v>39</v>
      </c>
      <c r="L140" s="147">
        <v>9239319</v>
      </c>
      <c r="M140" s="15" t="s">
        <v>20</v>
      </c>
    </row>
    <row r="141" spans="2:13" x14ac:dyDescent="0.3">
      <c r="B141" s="131">
        <v>44127</v>
      </c>
      <c r="C141" s="132" t="s">
        <v>1533</v>
      </c>
      <c r="D141" s="16" t="s">
        <v>31</v>
      </c>
      <c r="E141" s="85" t="s">
        <v>412</v>
      </c>
      <c r="F141" s="85" t="s">
        <v>906</v>
      </c>
      <c r="G141" s="87" t="s">
        <v>301</v>
      </c>
      <c r="H141" s="180" t="s">
        <v>32</v>
      </c>
      <c r="I141" s="131" t="s">
        <v>97</v>
      </c>
      <c r="J141" s="333">
        <v>44132</v>
      </c>
      <c r="K141" s="15" t="s">
        <v>33</v>
      </c>
      <c r="L141" s="147">
        <v>8877035</v>
      </c>
      <c r="M141" s="15" t="s">
        <v>19</v>
      </c>
    </row>
    <row r="142" spans="2:13" x14ac:dyDescent="0.3">
      <c r="B142" s="131">
        <v>44135</v>
      </c>
      <c r="C142" s="132" t="s">
        <v>1533</v>
      </c>
      <c r="D142" s="16" t="s">
        <v>31</v>
      </c>
      <c r="E142" s="85" t="s">
        <v>412</v>
      </c>
      <c r="F142" s="85" t="s">
        <v>1570</v>
      </c>
      <c r="G142" s="87" t="s">
        <v>301</v>
      </c>
      <c r="H142" s="180" t="s">
        <v>781</v>
      </c>
      <c r="I142" s="131" t="s">
        <v>97</v>
      </c>
      <c r="J142" s="333" t="s">
        <v>1598</v>
      </c>
      <c r="K142" s="15" t="s">
        <v>33</v>
      </c>
      <c r="L142" s="147">
        <v>1326865</v>
      </c>
      <c r="M142" s="15" t="s">
        <v>19</v>
      </c>
    </row>
    <row r="143" spans="2:13" x14ac:dyDescent="0.3">
      <c r="B143" s="131">
        <v>44135</v>
      </c>
      <c r="C143" s="132" t="s">
        <v>1571</v>
      </c>
      <c r="D143" s="16" t="s">
        <v>31</v>
      </c>
      <c r="E143" s="85" t="s">
        <v>412</v>
      </c>
      <c r="F143" s="85" t="s">
        <v>1570</v>
      </c>
      <c r="G143" s="87" t="s">
        <v>301</v>
      </c>
      <c r="H143" s="180" t="s">
        <v>781</v>
      </c>
      <c r="I143" s="131" t="s">
        <v>97</v>
      </c>
      <c r="J143" s="333" t="s">
        <v>1598</v>
      </c>
      <c r="K143" s="15" t="s">
        <v>33</v>
      </c>
      <c r="L143" s="147">
        <v>1351437</v>
      </c>
      <c r="M143" s="15" t="s">
        <v>19</v>
      </c>
    </row>
    <row r="144" spans="2:13" x14ac:dyDescent="0.3">
      <c r="B144" s="87">
        <v>44112</v>
      </c>
      <c r="C144" s="133" t="s">
        <v>1355</v>
      </c>
      <c r="D144" s="15" t="s">
        <v>31</v>
      </c>
      <c r="E144" s="16" t="s">
        <v>1144</v>
      </c>
      <c r="F144" s="15" t="s">
        <v>227</v>
      </c>
      <c r="G144" s="131" t="s">
        <v>614</v>
      </c>
      <c r="H144" s="180" t="s">
        <v>32</v>
      </c>
      <c r="I144" s="131" t="s">
        <v>97</v>
      </c>
      <c r="J144" s="332">
        <v>44113</v>
      </c>
      <c r="K144" s="15" t="s">
        <v>33</v>
      </c>
      <c r="L144" s="147">
        <v>605544</v>
      </c>
      <c r="M144" s="15" t="s">
        <v>19</v>
      </c>
    </row>
    <row r="145" spans="2:13" x14ac:dyDescent="0.3">
      <c r="B145" s="87">
        <v>44113</v>
      </c>
      <c r="C145" s="133" t="s">
        <v>1358</v>
      </c>
      <c r="D145" s="15" t="s">
        <v>31</v>
      </c>
      <c r="E145" s="16" t="s">
        <v>1144</v>
      </c>
      <c r="F145" s="16" t="s">
        <v>227</v>
      </c>
      <c r="G145" s="131" t="s">
        <v>1051</v>
      </c>
      <c r="H145" s="180" t="s">
        <v>1359</v>
      </c>
      <c r="I145" s="131" t="s">
        <v>97</v>
      </c>
      <c r="J145" s="332">
        <v>44118</v>
      </c>
      <c r="K145" s="15" t="s">
        <v>39</v>
      </c>
      <c r="L145" s="147">
        <v>9591808</v>
      </c>
      <c r="M145" s="15" t="s">
        <v>19</v>
      </c>
    </row>
    <row r="146" spans="2:13" x14ac:dyDescent="0.3">
      <c r="B146" s="131">
        <v>44130</v>
      </c>
      <c r="C146" s="132" t="s">
        <v>1421</v>
      </c>
      <c r="D146" s="16" t="s">
        <v>31</v>
      </c>
      <c r="E146" s="85" t="s">
        <v>438</v>
      </c>
      <c r="F146" s="85" t="s">
        <v>1422</v>
      </c>
      <c r="G146" s="87" t="s">
        <v>304</v>
      </c>
      <c r="H146" s="180" t="s">
        <v>38</v>
      </c>
      <c r="I146" s="131" t="s">
        <v>97</v>
      </c>
      <c r="J146" s="333">
        <v>44134</v>
      </c>
      <c r="K146" s="15" t="s">
        <v>33</v>
      </c>
      <c r="L146" s="147">
        <v>4399614</v>
      </c>
      <c r="M146" s="15" t="s">
        <v>19</v>
      </c>
    </row>
    <row r="147" spans="2:13" x14ac:dyDescent="0.3">
      <c r="B147" s="131">
        <v>44130</v>
      </c>
      <c r="C147" s="132" t="s">
        <v>1423</v>
      </c>
      <c r="D147" s="16" t="s">
        <v>31</v>
      </c>
      <c r="E147" s="85" t="s">
        <v>438</v>
      </c>
      <c r="F147" s="85" t="s">
        <v>1422</v>
      </c>
      <c r="G147" s="87" t="s">
        <v>304</v>
      </c>
      <c r="H147" s="180" t="s">
        <v>38</v>
      </c>
      <c r="I147" s="131" t="s">
        <v>97</v>
      </c>
      <c r="J147" s="333">
        <v>44134</v>
      </c>
      <c r="K147" s="15" t="s">
        <v>33</v>
      </c>
      <c r="L147" s="147">
        <v>4399614</v>
      </c>
      <c r="M147" s="15" t="s">
        <v>19</v>
      </c>
    </row>
    <row r="148" spans="2:13" x14ac:dyDescent="0.3">
      <c r="B148" s="131">
        <v>44130</v>
      </c>
      <c r="C148" s="132" t="s">
        <v>1431</v>
      </c>
      <c r="D148" s="16" t="s">
        <v>31</v>
      </c>
      <c r="E148" s="85" t="s">
        <v>438</v>
      </c>
      <c r="F148" s="85" t="s">
        <v>1422</v>
      </c>
      <c r="G148" s="87" t="s">
        <v>116</v>
      </c>
      <c r="H148" s="180" t="s">
        <v>32</v>
      </c>
      <c r="I148" s="131" t="s">
        <v>97</v>
      </c>
      <c r="J148" s="333">
        <v>44134</v>
      </c>
      <c r="K148" s="15" t="s">
        <v>33</v>
      </c>
      <c r="L148" s="147">
        <v>3692403</v>
      </c>
      <c r="M148" s="15" t="s">
        <v>19</v>
      </c>
    </row>
    <row r="149" spans="2:13" x14ac:dyDescent="0.3">
      <c r="B149" s="131">
        <v>44130</v>
      </c>
      <c r="C149" s="132" t="s">
        <v>695</v>
      </c>
      <c r="D149" s="16" t="s">
        <v>31</v>
      </c>
      <c r="E149" s="85" t="s">
        <v>438</v>
      </c>
      <c r="F149" s="85" t="s">
        <v>1422</v>
      </c>
      <c r="G149" s="87" t="s">
        <v>116</v>
      </c>
      <c r="H149" s="180" t="s">
        <v>32</v>
      </c>
      <c r="I149" s="131" t="s">
        <v>97</v>
      </c>
      <c r="J149" s="333">
        <v>44134</v>
      </c>
      <c r="K149" s="15" t="s">
        <v>33</v>
      </c>
      <c r="L149" s="147">
        <v>4070838</v>
      </c>
      <c r="M149" s="15" t="s">
        <v>19</v>
      </c>
    </row>
    <row r="150" spans="2:13" x14ac:dyDescent="0.3">
      <c r="B150" s="131">
        <v>44110</v>
      </c>
      <c r="C150" s="132" t="s">
        <v>1462</v>
      </c>
      <c r="D150" s="16" t="s">
        <v>31</v>
      </c>
      <c r="E150" s="85" t="s">
        <v>986</v>
      </c>
      <c r="F150" s="85" t="s">
        <v>1002</v>
      </c>
      <c r="G150" s="87" t="s">
        <v>304</v>
      </c>
      <c r="H150" s="180" t="s">
        <v>38</v>
      </c>
      <c r="I150" s="131" t="s">
        <v>97</v>
      </c>
      <c r="J150" s="333">
        <v>44117</v>
      </c>
      <c r="K150" s="15" t="s">
        <v>39</v>
      </c>
      <c r="L150" s="147">
        <v>4002979</v>
      </c>
      <c r="M150" s="15" t="s">
        <v>20</v>
      </c>
    </row>
    <row r="151" spans="2:13" x14ac:dyDescent="0.3">
      <c r="B151" s="131">
        <v>44110</v>
      </c>
      <c r="C151" s="132" t="s">
        <v>1463</v>
      </c>
      <c r="D151" s="16" t="s">
        <v>31</v>
      </c>
      <c r="E151" s="85" t="s">
        <v>986</v>
      </c>
      <c r="F151" s="85" t="s">
        <v>1002</v>
      </c>
      <c r="G151" s="87" t="s">
        <v>304</v>
      </c>
      <c r="H151" s="180" t="s">
        <v>37</v>
      </c>
      <c r="I151" s="131" t="s">
        <v>97</v>
      </c>
      <c r="J151" s="333" t="s">
        <v>1575</v>
      </c>
      <c r="K151" s="15" t="s">
        <v>39</v>
      </c>
      <c r="L151" s="147">
        <v>7005084</v>
      </c>
      <c r="M151" s="15" t="s">
        <v>19</v>
      </c>
    </row>
    <row r="152" spans="2:13" x14ac:dyDescent="0.3">
      <c r="B152" s="131">
        <v>44110</v>
      </c>
      <c r="C152" s="132" t="s">
        <v>1464</v>
      </c>
      <c r="D152" s="16" t="s">
        <v>31</v>
      </c>
      <c r="E152" s="85" t="s">
        <v>986</v>
      </c>
      <c r="F152" s="85" t="s">
        <v>1002</v>
      </c>
      <c r="G152" s="87" t="s">
        <v>304</v>
      </c>
      <c r="H152" s="180" t="s">
        <v>37</v>
      </c>
      <c r="I152" s="131" t="s">
        <v>97</v>
      </c>
      <c r="J152" s="333" t="s">
        <v>1576</v>
      </c>
      <c r="K152" s="15" t="s">
        <v>39</v>
      </c>
      <c r="L152" s="147">
        <v>6762867</v>
      </c>
      <c r="M152" s="15" t="s">
        <v>20</v>
      </c>
    </row>
    <row r="153" spans="2:13" x14ac:dyDescent="0.3">
      <c r="B153" s="131">
        <v>44111</v>
      </c>
      <c r="C153" s="132" t="s">
        <v>1465</v>
      </c>
      <c r="D153" s="16" t="s">
        <v>31</v>
      </c>
      <c r="E153" s="85" t="s">
        <v>986</v>
      </c>
      <c r="F153" s="85" t="s">
        <v>1002</v>
      </c>
      <c r="G153" s="87" t="s">
        <v>301</v>
      </c>
      <c r="H153" s="180" t="s">
        <v>32</v>
      </c>
      <c r="I153" s="131" t="s">
        <v>97</v>
      </c>
      <c r="J153" s="333">
        <v>44114</v>
      </c>
      <c r="K153" s="15" t="s">
        <v>33</v>
      </c>
      <c r="L153" s="147">
        <v>4051579</v>
      </c>
      <c r="M153" s="15" t="s">
        <v>19</v>
      </c>
    </row>
    <row r="154" spans="2:13" x14ac:dyDescent="0.3">
      <c r="B154" s="131">
        <v>44112</v>
      </c>
      <c r="C154" s="132" t="s">
        <v>1471</v>
      </c>
      <c r="D154" s="16" t="s">
        <v>31</v>
      </c>
      <c r="E154" s="85" t="s">
        <v>986</v>
      </c>
      <c r="F154" s="85" t="s">
        <v>1002</v>
      </c>
      <c r="G154" s="87" t="s">
        <v>304</v>
      </c>
      <c r="H154" s="180" t="s">
        <v>37</v>
      </c>
      <c r="I154" s="131" t="s">
        <v>97</v>
      </c>
      <c r="J154" s="333" t="s">
        <v>1578</v>
      </c>
      <c r="K154" s="15" t="s">
        <v>33</v>
      </c>
      <c r="L154" s="147">
        <v>7048528</v>
      </c>
      <c r="M154" s="15" t="s">
        <v>19</v>
      </c>
    </row>
    <row r="155" spans="2:13" x14ac:dyDescent="0.3">
      <c r="B155" s="131">
        <v>44116</v>
      </c>
      <c r="C155" s="132" t="s">
        <v>1478</v>
      </c>
      <c r="D155" s="16" t="s">
        <v>31</v>
      </c>
      <c r="E155" s="85" t="s">
        <v>986</v>
      </c>
      <c r="F155" s="85" t="s">
        <v>1002</v>
      </c>
      <c r="G155" s="87" t="s">
        <v>301</v>
      </c>
      <c r="H155" s="180" t="s">
        <v>37</v>
      </c>
      <c r="I155" s="131" t="s">
        <v>97</v>
      </c>
      <c r="J155" s="333" t="s">
        <v>1579</v>
      </c>
      <c r="K155" s="15" t="s">
        <v>33</v>
      </c>
      <c r="L155" s="147">
        <v>7411854</v>
      </c>
      <c r="M155" s="15" t="s">
        <v>19</v>
      </c>
    </row>
    <row r="156" spans="2:13" x14ac:dyDescent="0.3">
      <c r="B156" s="131">
        <v>44121</v>
      </c>
      <c r="C156" s="132" t="s">
        <v>1479</v>
      </c>
      <c r="D156" s="16" t="s">
        <v>31</v>
      </c>
      <c r="E156" s="85" t="s">
        <v>986</v>
      </c>
      <c r="F156" s="85" t="s">
        <v>1002</v>
      </c>
      <c r="G156" s="87" t="s">
        <v>301</v>
      </c>
      <c r="H156" s="180" t="s">
        <v>32</v>
      </c>
      <c r="I156" s="131" t="s">
        <v>97</v>
      </c>
      <c r="J156" s="333">
        <v>44136</v>
      </c>
      <c r="K156" s="15" t="s">
        <v>39</v>
      </c>
      <c r="L156" s="147">
        <v>4230730</v>
      </c>
      <c r="M156" s="15" t="s">
        <v>19</v>
      </c>
    </row>
    <row r="157" spans="2:13" x14ac:dyDescent="0.3">
      <c r="B157" s="131"/>
      <c r="C157" s="132"/>
      <c r="D157" s="16"/>
      <c r="E157" s="85"/>
      <c r="F157" s="85"/>
      <c r="G157" s="87"/>
      <c r="H157" s="180"/>
      <c r="I157" s="131"/>
      <c r="J157" s="333"/>
      <c r="K157" s="15"/>
      <c r="L157" s="147"/>
      <c r="M157" s="15"/>
    </row>
    <row r="158" spans="2:13" x14ac:dyDescent="0.3">
      <c r="B158" s="131">
        <v>44121</v>
      </c>
      <c r="C158" s="132" t="s">
        <v>1480</v>
      </c>
      <c r="D158" s="16" t="s">
        <v>31</v>
      </c>
      <c r="E158" s="85" t="s">
        <v>986</v>
      </c>
      <c r="F158" s="85" t="s">
        <v>1002</v>
      </c>
      <c r="G158" s="87" t="s">
        <v>301</v>
      </c>
      <c r="H158" s="180" t="s">
        <v>32</v>
      </c>
      <c r="I158" s="131" t="s">
        <v>97</v>
      </c>
      <c r="J158" s="333">
        <v>44136</v>
      </c>
      <c r="K158" s="15" t="s">
        <v>39</v>
      </c>
      <c r="L158" s="147">
        <v>3443030</v>
      </c>
      <c r="M158" s="15" t="s">
        <v>19</v>
      </c>
    </row>
    <row r="159" spans="2:13" x14ac:dyDescent="0.3">
      <c r="B159" s="131">
        <v>44121</v>
      </c>
      <c r="C159" s="132" t="s">
        <v>1481</v>
      </c>
      <c r="D159" s="16" t="s">
        <v>31</v>
      </c>
      <c r="E159" s="85" t="s">
        <v>986</v>
      </c>
      <c r="F159" s="85" t="s">
        <v>1002</v>
      </c>
      <c r="G159" s="87" t="s">
        <v>301</v>
      </c>
      <c r="H159" s="180" t="s">
        <v>37</v>
      </c>
      <c r="I159" s="131" t="s">
        <v>97</v>
      </c>
      <c r="J159" s="333" t="s">
        <v>1580</v>
      </c>
      <c r="K159" s="15" t="s">
        <v>39</v>
      </c>
      <c r="L159" s="147">
        <v>6825424</v>
      </c>
      <c r="M159" s="15" t="s">
        <v>20</v>
      </c>
    </row>
    <row r="160" spans="2:13" x14ac:dyDescent="0.3">
      <c r="B160" s="131">
        <v>44121</v>
      </c>
      <c r="C160" s="132" t="s">
        <v>1482</v>
      </c>
      <c r="D160" s="16" t="s">
        <v>31</v>
      </c>
      <c r="E160" s="85" t="s">
        <v>986</v>
      </c>
      <c r="F160" s="85" t="s">
        <v>1002</v>
      </c>
      <c r="G160" s="87" t="s">
        <v>301</v>
      </c>
      <c r="H160" s="180" t="s">
        <v>32</v>
      </c>
      <c r="I160" s="131" t="s">
        <v>97</v>
      </c>
      <c r="J160" s="333">
        <v>44126</v>
      </c>
      <c r="K160" s="15" t="s">
        <v>33</v>
      </c>
      <c r="L160" s="147">
        <v>4484503</v>
      </c>
      <c r="M160" s="15" t="s">
        <v>20</v>
      </c>
    </row>
    <row r="161" spans="2:13" x14ac:dyDescent="0.3">
      <c r="B161" s="131">
        <v>44120</v>
      </c>
      <c r="C161" s="132" t="s">
        <v>1483</v>
      </c>
      <c r="D161" s="16" t="s">
        <v>31</v>
      </c>
      <c r="E161" s="85" t="s">
        <v>986</v>
      </c>
      <c r="F161" s="85" t="s">
        <v>1002</v>
      </c>
      <c r="G161" s="87" t="s">
        <v>304</v>
      </c>
      <c r="H161" s="180" t="s">
        <v>1484</v>
      </c>
      <c r="I161" s="131" t="s">
        <v>97</v>
      </c>
      <c r="J161" s="333">
        <v>44124</v>
      </c>
      <c r="K161" s="15" t="s">
        <v>39</v>
      </c>
      <c r="L161" s="147">
        <v>6129959</v>
      </c>
      <c r="M161" s="15" t="s">
        <v>19</v>
      </c>
    </row>
    <row r="162" spans="2:13" x14ac:dyDescent="0.3">
      <c r="B162" s="131">
        <v>44123</v>
      </c>
      <c r="C162" s="132" t="s">
        <v>1486</v>
      </c>
      <c r="D162" s="16" t="s">
        <v>31</v>
      </c>
      <c r="E162" s="85" t="s">
        <v>986</v>
      </c>
      <c r="F162" s="85" t="s">
        <v>1002</v>
      </c>
      <c r="G162" s="87" t="s">
        <v>304</v>
      </c>
      <c r="H162" s="180" t="s">
        <v>1484</v>
      </c>
      <c r="I162" s="131" t="s">
        <v>97</v>
      </c>
      <c r="J162" s="333">
        <v>44136</v>
      </c>
      <c r="K162" s="15" t="s">
        <v>39</v>
      </c>
      <c r="L162" s="147">
        <v>4843189</v>
      </c>
      <c r="M162" s="15" t="s">
        <v>19</v>
      </c>
    </row>
    <row r="163" spans="2:13" x14ac:dyDescent="0.3">
      <c r="B163" s="131">
        <v>44124</v>
      </c>
      <c r="C163" s="132" t="s">
        <v>1489</v>
      </c>
      <c r="D163" s="16" t="s">
        <v>31</v>
      </c>
      <c r="E163" s="85" t="s">
        <v>986</v>
      </c>
      <c r="F163" s="85" t="s">
        <v>1002</v>
      </c>
      <c r="G163" s="87" t="s">
        <v>304</v>
      </c>
      <c r="H163" s="180" t="s">
        <v>37</v>
      </c>
      <c r="I163" s="131" t="s">
        <v>97</v>
      </c>
      <c r="J163" s="333" t="s">
        <v>1581</v>
      </c>
      <c r="K163" s="15" t="s">
        <v>33</v>
      </c>
      <c r="L163" s="147">
        <v>7132387</v>
      </c>
      <c r="M163" s="15" t="s">
        <v>19</v>
      </c>
    </row>
    <row r="164" spans="2:13" x14ac:dyDescent="0.3">
      <c r="B164" s="131">
        <v>44124</v>
      </c>
      <c r="C164" s="132" t="s">
        <v>1490</v>
      </c>
      <c r="D164" s="16" t="s">
        <v>31</v>
      </c>
      <c r="E164" s="85" t="s">
        <v>986</v>
      </c>
      <c r="F164" s="85" t="s">
        <v>1002</v>
      </c>
      <c r="G164" s="87" t="s">
        <v>304</v>
      </c>
      <c r="H164" s="180" t="s">
        <v>37</v>
      </c>
      <c r="I164" s="131" t="s">
        <v>97</v>
      </c>
      <c r="J164" s="333" t="s">
        <v>1581</v>
      </c>
      <c r="K164" s="15" t="s">
        <v>33</v>
      </c>
      <c r="L164" s="147">
        <v>7132387</v>
      </c>
      <c r="M164" s="15" t="s">
        <v>19</v>
      </c>
    </row>
    <row r="165" spans="2:13" x14ac:dyDescent="0.3">
      <c r="B165" s="131">
        <v>44124</v>
      </c>
      <c r="C165" s="132" t="s">
        <v>1491</v>
      </c>
      <c r="D165" s="16" t="s">
        <v>31</v>
      </c>
      <c r="E165" s="85" t="s">
        <v>986</v>
      </c>
      <c r="F165" s="85" t="s">
        <v>1002</v>
      </c>
      <c r="G165" s="87" t="s">
        <v>304</v>
      </c>
      <c r="H165" s="180" t="s">
        <v>37</v>
      </c>
      <c r="I165" s="131" t="s">
        <v>97</v>
      </c>
      <c r="J165" s="333" t="s">
        <v>1581</v>
      </c>
      <c r="K165" s="15" t="s">
        <v>33</v>
      </c>
      <c r="L165" s="147">
        <v>7132387</v>
      </c>
      <c r="M165" s="15" t="s">
        <v>19</v>
      </c>
    </row>
    <row r="166" spans="2:13" x14ac:dyDescent="0.3">
      <c r="B166" s="131">
        <v>44131</v>
      </c>
      <c r="C166" s="132" t="s">
        <v>1550</v>
      </c>
      <c r="D166" s="16" t="s">
        <v>31</v>
      </c>
      <c r="E166" s="85" t="s">
        <v>986</v>
      </c>
      <c r="F166" s="85" t="s">
        <v>1002</v>
      </c>
      <c r="G166" s="87" t="s">
        <v>304</v>
      </c>
      <c r="H166" s="180" t="s">
        <v>37</v>
      </c>
      <c r="I166" s="131" t="s">
        <v>97</v>
      </c>
      <c r="J166" s="333" t="s">
        <v>1590</v>
      </c>
      <c r="K166" s="15" t="s">
        <v>39</v>
      </c>
      <c r="L166" s="147">
        <v>9962736</v>
      </c>
      <c r="M166" s="15" t="s">
        <v>19</v>
      </c>
    </row>
    <row r="167" spans="2:13" x14ac:dyDescent="0.3">
      <c r="B167" s="131"/>
      <c r="C167" s="132"/>
      <c r="D167" s="16"/>
      <c r="E167" s="85"/>
      <c r="F167" s="85"/>
      <c r="G167" s="87"/>
      <c r="H167" s="180"/>
      <c r="I167" s="131"/>
      <c r="J167" s="333"/>
      <c r="K167" s="15"/>
      <c r="L167" s="147"/>
      <c r="M167" s="15"/>
    </row>
    <row r="168" spans="2:13" x14ac:dyDescent="0.3">
      <c r="B168" s="131">
        <v>44133</v>
      </c>
      <c r="C168" s="132" t="s">
        <v>1539</v>
      </c>
      <c r="D168" s="16" t="s">
        <v>36</v>
      </c>
      <c r="E168" s="85" t="s">
        <v>308</v>
      </c>
      <c r="F168" s="85" t="s">
        <v>1540</v>
      </c>
      <c r="G168" s="87" t="s">
        <v>304</v>
      </c>
      <c r="H168" s="180" t="s">
        <v>1507</v>
      </c>
      <c r="I168" s="131" t="s">
        <v>83</v>
      </c>
      <c r="J168" s="333">
        <v>44133</v>
      </c>
      <c r="K168" s="15" t="s">
        <v>33</v>
      </c>
      <c r="L168" s="147">
        <v>909148</v>
      </c>
      <c r="M168" s="15" t="s">
        <v>19</v>
      </c>
    </row>
    <row r="169" spans="2:13" x14ac:dyDescent="0.3">
      <c r="B169" s="131">
        <v>44131</v>
      </c>
      <c r="C169" s="132" t="s">
        <v>1555</v>
      </c>
      <c r="D169" s="16" t="s">
        <v>31</v>
      </c>
      <c r="E169" s="85" t="s">
        <v>986</v>
      </c>
      <c r="F169" s="85" t="s">
        <v>1002</v>
      </c>
      <c r="G169" s="87" t="s">
        <v>304</v>
      </c>
      <c r="H169" s="180" t="s">
        <v>37</v>
      </c>
      <c r="I169" s="131" t="s">
        <v>97</v>
      </c>
      <c r="J169" s="333" t="s">
        <v>1592</v>
      </c>
      <c r="K169" s="15" t="s">
        <v>39</v>
      </c>
      <c r="L169" s="147">
        <v>6837300</v>
      </c>
      <c r="M169" s="15" t="s">
        <v>19</v>
      </c>
    </row>
    <row r="170" spans="2:13" x14ac:dyDescent="0.3">
      <c r="B170" s="131">
        <v>44133</v>
      </c>
      <c r="C170" s="132" t="s">
        <v>1557</v>
      </c>
      <c r="D170" s="16" t="s">
        <v>31</v>
      </c>
      <c r="E170" s="85" t="s">
        <v>986</v>
      </c>
      <c r="F170" s="85" t="s">
        <v>1002</v>
      </c>
      <c r="G170" s="87" t="s">
        <v>301</v>
      </c>
      <c r="H170" s="180" t="s">
        <v>1558</v>
      </c>
      <c r="I170" s="131" t="s">
        <v>97</v>
      </c>
      <c r="J170" s="333">
        <v>44133</v>
      </c>
      <c r="K170" s="15" t="s">
        <v>39</v>
      </c>
      <c r="L170" s="147">
        <v>5188574</v>
      </c>
      <c r="M170" s="15" t="s">
        <v>20</v>
      </c>
    </row>
    <row r="171" spans="2:13" x14ac:dyDescent="0.3">
      <c r="B171" s="131">
        <v>44133</v>
      </c>
      <c r="C171" s="132" t="s">
        <v>1541</v>
      </c>
      <c r="D171" s="16" t="s">
        <v>36</v>
      </c>
      <c r="E171" s="85" t="s">
        <v>308</v>
      </c>
      <c r="F171" s="85" t="s">
        <v>1540</v>
      </c>
      <c r="G171" s="87" t="s">
        <v>304</v>
      </c>
      <c r="H171" s="180" t="s">
        <v>1507</v>
      </c>
      <c r="I171" s="131" t="s">
        <v>83</v>
      </c>
      <c r="J171" s="333">
        <v>44133</v>
      </c>
      <c r="K171" s="15" t="s">
        <v>33</v>
      </c>
      <c r="L171" s="147">
        <v>626575</v>
      </c>
      <c r="M171" s="15" t="s">
        <v>20</v>
      </c>
    </row>
    <row r="172" spans="2:13" x14ac:dyDescent="0.3">
      <c r="B172" s="87">
        <v>44113</v>
      </c>
      <c r="C172" s="133" t="s">
        <v>1384</v>
      </c>
      <c r="D172" s="15" t="s">
        <v>36</v>
      </c>
      <c r="E172" s="16" t="s">
        <v>121</v>
      </c>
      <c r="F172" s="15" t="s">
        <v>126</v>
      </c>
      <c r="G172" s="131" t="s">
        <v>614</v>
      </c>
      <c r="H172" s="180" t="s">
        <v>32</v>
      </c>
      <c r="I172" s="87" t="s">
        <v>97</v>
      </c>
      <c r="J172" s="332">
        <v>44113</v>
      </c>
      <c r="K172" s="15" t="s">
        <v>33</v>
      </c>
      <c r="L172" s="147">
        <v>1700000</v>
      </c>
      <c r="M172" s="15" t="s">
        <v>20</v>
      </c>
    </row>
    <row r="173" spans="2:13" x14ac:dyDescent="0.3">
      <c r="B173" s="131">
        <v>44133</v>
      </c>
      <c r="C173" s="132" t="s">
        <v>1560</v>
      </c>
      <c r="D173" s="16" t="s">
        <v>31</v>
      </c>
      <c r="E173" s="85" t="s">
        <v>986</v>
      </c>
      <c r="F173" s="85" t="s">
        <v>1002</v>
      </c>
      <c r="G173" s="87" t="s">
        <v>304</v>
      </c>
      <c r="H173" s="180" t="s">
        <v>37</v>
      </c>
      <c r="I173" s="131" t="s">
        <v>97</v>
      </c>
      <c r="J173" s="333" t="s">
        <v>1594</v>
      </c>
      <c r="K173" s="15" t="s">
        <v>39</v>
      </c>
      <c r="L173" s="147">
        <v>10884169</v>
      </c>
      <c r="M173" s="15" t="s">
        <v>19</v>
      </c>
    </row>
    <row r="174" spans="2:13" x14ac:dyDescent="0.3">
      <c r="B174" s="131">
        <v>44134</v>
      </c>
      <c r="C174" s="132" t="s">
        <v>1555</v>
      </c>
      <c r="D174" s="16" t="s">
        <v>31</v>
      </c>
      <c r="E174" s="85" t="s">
        <v>986</v>
      </c>
      <c r="F174" s="85" t="s">
        <v>1002</v>
      </c>
      <c r="G174" s="87" t="s">
        <v>304</v>
      </c>
      <c r="H174" s="180" t="s">
        <v>37</v>
      </c>
      <c r="I174" s="131" t="s">
        <v>97</v>
      </c>
      <c r="J174" s="333" t="s">
        <v>1596</v>
      </c>
      <c r="K174" s="15" t="s">
        <v>39</v>
      </c>
      <c r="L174" s="147">
        <v>921434</v>
      </c>
      <c r="M174" s="15" t="s">
        <v>20</v>
      </c>
    </row>
    <row r="175" spans="2:13" x14ac:dyDescent="0.3">
      <c r="B175" s="131">
        <v>44111</v>
      </c>
      <c r="C175" s="132" t="s">
        <v>1469</v>
      </c>
      <c r="D175" s="16" t="s">
        <v>31</v>
      </c>
      <c r="E175" s="16" t="s">
        <v>1020</v>
      </c>
      <c r="F175" s="85" t="s">
        <v>1467</v>
      </c>
      <c r="G175" s="87" t="s">
        <v>301</v>
      </c>
      <c r="H175" s="180" t="s">
        <v>37</v>
      </c>
      <c r="I175" s="131" t="s">
        <v>97</v>
      </c>
      <c r="J175" s="333" t="s">
        <v>1577</v>
      </c>
      <c r="K175" s="15" t="s">
        <v>33</v>
      </c>
      <c r="L175" s="147">
        <v>7411854</v>
      </c>
      <c r="M175" s="15" t="s">
        <v>20</v>
      </c>
    </row>
    <row r="176" spans="2:13" x14ac:dyDescent="0.3">
      <c r="B176" s="131">
        <v>44115</v>
      </c>
      <c r="C176" s="132" t="s">
        <v>1472</v>
      </c>
      <c r="D176" s="16" t="s">
        <v>31</v>
      </c>
      <c r="E176" s="16" t="s">
        <v>1020</v>
      </c>
      <c r="F176" s="85" t="s">
        <v>1467</v>
      </c>
      <c r="G176" s="87" t="s">
        <v>304</v>
      </c>
      <c r="H176" s="180" t="s">
        <v>32</v>
      </c>
      <c r="I176" s="131" t="s">
        <v>97</v>
      </c>
      <c r="J176" s="333">
        <v>44115</v>
      </c>
      <c r="K176" s="15" t="s">
        <v>39</v>
      </c>
      <c r="L176" s="147">
        <v>8870824</v>
      </c>
      <c r="M176" s="15" t="s">
        <v>19</v>
      </c>
    </row>
    <row r="177" spans="2:13" x14ac:dyDescent="0.3">
      <c r="B177" s="131">
        <v>44119</v>
      </c>
      <c r="C177" s="132" t="s">
        <v>1469</v>
      </c>
      <c r="D177" s="16" t="s">
        <v>31</v>
      </c>
      <c r="E177" s="16" t="s">
        <v>1020</v>
      </c>
      <c r="F177" s="85" t="s">
        <v>1467</v>
      </c>
      <c r="G177" s="87" t="s">
        <v>304</v>
      </c>
      <c r="H177" s="180" t="s">
        <v>38</v>
      </c>
      <c r="I177" s="131" t="s">
        <v>97</v>
      </c>
      <c r="J177" s="333">
        <v>44125</v>
      </c>
      <c r="K177" s="15" t="s">
        <v>39</v>
      </c>
      <c r="L177" s="147">
        <v>6962385</v>
      </c>
      <c r="M177" s="15" t="s">
        <v>19</v>
      </c>
    </row>
    <row r="178" spans="2:13" x14ac:dyDescent="0.3">
      <c r="B178" s="131">
        <v>44119</v>
      </c>
      <c r="C178" s="132" t="s">
        <v>1469</v>
      </c>
      <c r="D178" s="16" t="s">
        <v>31</v>
      </c>
      <c r="E178" s="16" t="s">
        <v>1020</v>
      </c>
      <c r="F178" s="85" t="s">
        <v>1467</v>
      </c>
      <c r="G178" s="87" t="s">
        <v>301</v>
      </c>
      <c r="H178" s="180" t="s">
        <v>32</v>
      </c>
      <c r="I178" s="131" t="s">
        <v>97</v>
      </c>
      <c r="J178" s="333">
        <v>44130</v>
      </c>
      <c r="K178" s="15" t="s">
        <v>33</v>
      </c>
      <c r="L178" s="147">
        <v>245099</v>
      </c>
      <c r="M178" s="15" t="s">
        <v>19</v>
      </c>
    </row>
    <row r="179" spans="2:13" x14ac:dyDescent="0.3">
      <c r="B179" s="87">
        <v>44107</v>
      </c>
      <c r="C179" s="133" t="s">
        <v>1341</v>
      </c>
      <c r="D179" s="15" t="s">
        <v>31</v>
      </c>
      <c r="E179" s="16" t="s">
        <v>1020</v>
      </c>
      <c r="F179" s="85" t="s">
        <v>1286</v>
      </c>
      <c r="G179" s="87" t="s">
        <v>116</v>
      </c>
      <c r="H179" s="180" t="s">
        <v>32</v>
      </c>
      <c r="I179" s="131" t="s">
        <v>97</v>
      </c>
      <c r="J179" s="331">
        <v>44116</v>
      </c>
      <c r="K179" s="151" t="s">
        <v>33</v>
      </c>
      <c r="L179" s="147">
        <v>4450764</v>
      </c>
      <c r="M179" s="15" t="s">
        <v>19</v>
      </c>
    </row>
    <row r="180" spans="2:13" x14ac:dyDescent="0.3">
      <c r="B180" s="87">
        <v>44107</v>
      </c>
      <c r="C180" s="153" t="s">
        <v>1342</v>
      </c>
      <c r="D180" s="15" t="s">
        <v>31</v>
      </c>
      <c r="E180" s="16" t="s">
        <v>1020</v>
      </c>
      <c r="F180" s="85" t="s">
        <v>1286</v>
      </c>
      <c r="G180" s="87" t="s">
        <v>116</v>
      </c>
      <c r="H180" s="180" t="s">
        <v>32</v>
      </c>
      <c r="I180" s="150" t="s">
        <v>97</v>
      </c>
      <c r="J180" s="331">
        <v>44116</v>
      </c>
      <c r="K180" s="335" t="s">
        <v>33</v>
      </c>
      <c r="L180" s="147">
        <v>4450764</v>
      </c>
      <c r="M180" s="15" t="s">
        <v>20</v>
      </c>
    </row>
    <row r="181" spans="2:13" x14ac:dyDescent="0.3">
      <c r="B181" s="87">
        <v>44107</v>
      </c>
      <c r="C181" s="153" t="s">
        <v>1343</v>
      </c>
      <c r="D181" s="15" t="s">
        <v>31</v>
      </c>
      <c r="E181" s="16" t="s">
        <v>1020</v>
      </c>
      <c r="F181" s="85" t="s">
        <v>1286</v>
      </c>
      <c r="G181" s="87" t="s">
        <v>116</v>
      </c>
      <c r="H181" s="180" t="s">
        <v>32</v>
      </c>
      <c r="I181" s="150" t="s">
        <v>97</v>
      </c>
      <c r="J181" s="331">
        <v>44111</v>
      </c>
      <c r="K181" s="15" t="s">
        <v>33</v>
      </c>
      <c r="L181" s="147">
        <v>4244340</v>
      </c>
      <c r="M181" s="15" t="s">
        <v>20</v>
      </c>
    </row>
    <row r="182" spans="2:13" x14ac:dyDescent="0.3">
      <c r="B182" s="87">
        <v>44107</v>
      </c>
      <c r="C182" s="153" t="s">
        <v>1344</v>
      </c>
      <c r="D182" s="15" t="s">
        <v>31</v>
      </c>
      <c r="E182" s="16" t="s">
        <v>1020</v>
      </c>
      <c r="F182" s="85" t="s">
        <v>1286</v>
      </c>
      <c r="G182" s="87" t="s">
        <v>116</v>
      </c>
      <c r="H182" s="180" t="s">
        <v>32</v>
      </c>
      <c r="I182" s="150" t="s">
        <v>97</v>
      </c>
      <c r="J182" s="331">
        <v>44111</v>
      </c>
      <c r="K182" s="15" t="s">
        <v>33</v>
      </c>
      <c r="L182" s="147">
        <v>4244340</v>
      </c>
      <c r="M182" s="15" t="s">
        <v>20</v>
      </c>
    </row>
    <row r="183" spans="2:13" x14ac:dyDescent="0.3">
      <c r="B183" s="87">
        <v>44107</v>
      </c>
      <c r="C183" s="153" t="s">
        <v>1345</v>
      </c>
      <c r="D183" s="15" t="s">
        <v>31</v>
      </c>
      <c r="E183" s="16" t="s">
        <v>1020</v>
      </c>
      <c r="F183" s="85"/>
      <c r="G183" s="87" t="s">
        <v>1346</v>
      </c>
      <c r="H183" s="180" t="s">
        <v>1347</v>
      </c>
      <c r="I183" s="150" t="s">
        <v>97</v>
      </c>
      <c r="J183" s="331">
        <v>44110</v>
      </c>
      <c r="K183" s="15" t="s">
        <v>33</v>
      </c>
      <c r="L183" s="147">
        <v>3200000</v>
      </c>
      <c r="M183" s="15" t="s">
        <v>20</v>
      </c>
    </row>
    <row r="184" spans="2:13" x14ac:dyDescent="0.3">
      <c r="B184" s="131">
        <v>44116</v>
      </c>
      <c r="C184" s="132" t="s">
        <v>1475</v>
      </c>
      <c r="D184" s="16" t="s">
        <v>31</v>
      </c>
      <c r="E184" s="16" t="s">
        <v>1020</v>
      </c>
      <c r="F184" s="85" t="s">
        <v>1476</v>
      </c>
      <c r="G184" s="87" t="s">
        <v>304</v>
      </c>
      <c r="H184" s="180" t="s">
        <v>38</v>
      </c>
      <c r="I184" s="150" t="s">
        <v>97</v>
      </c>
      <c r="J184" s="333">
        <v>44110</v>
      </c>
      <c r="K184" s="15" t="s">
        <v>33</v>
      </c>
      <c r="L184" s="147">
        <v>3200000</v>
      </c>
      <c r="M184" s="15" t="s">
        <v>20</v>
      </c>
    </row>
    <row r="185" spans="2:13" x14ac:dyDescent="0.3">
      <c r="B185" s="131">
        <v>44124</v>
      </c>
      <c r="C185" s="132" t="s">
        <v>1492</v>
      </c>
      <c r="D185" s="16" t="s">
        <v>31</v>
      </c>
      <c r="E185" s="16" t="s">
        <v>1020</v>
      </c>
      <c r="F185" s="85" t="s">
        <v>1493</v>
      </c>
      <c r="G185" s="87" t="s">
        <v>304</v>
      </c>
      <c r="H185" s="180" t="s">
        <v>38</v>
      </c>
      <c r="I185" s="150" t="s">
        <v>97</v>
      </c>
      <c r="J185" s="333">
        <v>44127</v>
      </c>
      <c r="K185" s="15" t="s">
        <v>33</v>
      </c>
      <c r="L185" s="147">
        <v>4313746</v>
      </c>
      <c r="M185" s="15" t="s">
        <v>20</v>
      </c>
    </row>
    <row r="186" spans="2:13" x14ac:dyDescent="0.3">
      <c r="B186" s="131">
        <v>44135</v>
      </c>
      <c r="C186" s="132" t="s">
        <v>1573</v>
      </c>
      <c r="D186" s="16" t="s">
        <v>31</v>
      </c>
      <c r="E186" s="16" t="s">
        <v>1020</v>
      </c>
      <c r="F186" s="85" t="s">
        <v>1476</v>
      </c>
      <c r="G186" s="87" t="s">
        <v>301</v>
      </c>
      <c r="H186" s="180" t="s">
        <v>32</v>
      </c>
      <c r="I186" s="150" t="s">
        <v>97</v>
      </c>
      <c r="J186" s="333">
        <v>44137</v>
      </c>
      <c r="K186" s="15" t="s">
        <v>33</v>
      </c>
      <c r="L186" s="147">
        <v>4744230</v>
      </c>
      <c r="M186" s="15" t="s">
        <v>20</v>
      </c>
    </row>
    <row r="187" spans="2:13" x14ac:dyDescent="0.3">
      <c r="B187" s="87">
        <v>44113</v>
      </c>
      <c r="C187" s="133" t="s">
        <v>1364</v>
      </c>
      <c r="D187" s="15" t="s">
        <v>31</v>
      </c>
      <c r="E187" s="16" t="s">
        <v>1020</v>
      </c>
      <c r="F187" s="85" t="s">
        <v>1365</v>
      </c>
      <c r="G187" s="87" t="s">
        <v>116</v>
      </c>
      <c r="H187" s="180" t="s">
        <v>35</v>
      </c>
      <c r="I187" s="150" t="s">
        <v>97</v>
      </c>
      <c r="J187" s="331" t="s">
        <v>1366</v>
      </c>
      <c r="K187" s="151" t="s">
        <v>39</v>
      </c>
      <c r="L187" s="147">
        <v>11716084</v>
      </c>
      <c r="M187" s="15" t="s">
        <v>20</v>
      </c>
    </row>
    <row r="188" spans="2:13" x14ac:dyDescent="0.3">
      <c r="B188" s="87">
        <v>44113</v>
      </c>
      <c r="C188" s="153" t="s">
        <v>1367</v>
      </c>
      <c r="D188" s="15" t="s">
        <v>31</v>
      </c>
      <c r="E188" s="16" t="s">
        <v>1020</v>
      </c>
      <c r="F188" s="86" t="s">
        <v>1365</v>
      </c>
      <c r="G188" s="87" t="s">
        <v>116</v>
      </c>
      <c r="H188" s="180" t="s">
        <v>35</v>
      </c>
      <c r="I188" s="150" t="s">
        <v>97</v>
      </c>
      <c r="J188" s="331" t="s">
        <v>1366</v>
      </c>
      <c r="K188" s="15" t="s">
        <v>39</v>
      </c>
      <c r="L188" s="147">
        <v>11716084</v>
      </c>
      <c r="M188" s="15" t="s">
        <v>20</v>
      </c>
    </row>
    <row r="189" spans="2:13" x14ac:dyDescent="0.3">
      <c r="B189" s="131">
        <v>44130</v>
      </c>
      <c r="C189" s="132" t="s">
        <v>1433</v>
      </c>
      <c r="D189" s="16" t="s">
        <v>31</v>
      </c>
      <c r="E189" s="16" t="s">
        <v>1020</v>
      </c>
      <c r="F189" s="85" t="s">
        <v>1365</v>
      </c>
      <c r="G189" s="87" t="s">
        <v>116</v>
      </c>
      <c r="H189" s="180" t="s">
        <v>32</v>
      </c>
      <c r="I189" s="131" t="s">
        <v>97</v>
      </c>
      <c r="J189" s="333">
        <v>44133</v>
      </c>
      <c r="K189" s="15" t="s">
        <v>33</v>
      </c>
      <c r="L189" s="147">
        <v>4064538</v>
      </c>
      <c r="M189" s="15" t="s">
        <v>20</v>
      </c>
    </row>
    <row r="190" spans="2:13" x14ac:dyDescent="0.3">
      <c r="B190" s="87">
        <v>44117</v>
      </c>
      <c r="C190" s="153" t="s">
        <v>1370</v>
      </c>
      <c r="D190" s="15" t="s">
        <v>31</v>
      </c>
      <c r="E190" s="16" t="s">
        <v>1020</v>
      </c>
      <c r="F190" s="16" t="s">
        <v>1365</v>
      </c>
      <c r="G190" s="87" t="s">
        <v>116</v>
      </c>
      <c r="H190" s="180" t="s">
        <v>32</v>
      </c>
      <c r="I190" s="150" t="s">
        <v>97</v>
      </c>
      <c r="J190" s="331">
        <v>44130</v>
      </c>
      <c r="K190" s="151" t="s">
        <v>33</v>
      </c>
      <c r="L190" s="147">
        <v>4051579</v>
      </c>
      <c r="M190" s="15" t="s">
        <v>20</v>
      </c>
    </row>
    <row r="191" spans="2:13" x14ac:dyDescent="0.3">
      <c r="B191" s="87">
        <v>44118</v>
      </c>
      <c r="C191" s="153" t="s">
        <v>1371</v>
      </c>
      <c r="D191" s="15" t="s">
        <v>31</v>
      </c>
      <c r="E191" s="16" t="s">
        <v>1020</v>
      </c>
      <c r="F191" s="86" t="s">
        <v>1365</v>
      </c>
      <c r="G191" s="87" t="s">
        <v>116</v>
      </c>
      <c r="H191" s="180" t="s">
        <v>35</v>
      </c>
      <c r="I191" s="150" t="s">
        <v>97</v>
      </c>
      <c r="J191" s="331" t="s">
        <v>1372</v>
      </c>
      <c r="K191" s="15" t="s">
        <v>33</v>
      </c>
      <c r="L191" s="147">
        <v>6827340</v>
      </c>
      <c r="M191" s="15" t="s">
        <v>20</v>
      </c>
    </row>
    <row r="192" spans="2:13" x14ac:dyDescent="0.3">
      <c r="B192" s="87">
        <v>44118</v>
      </c>
      <c r="C192" s="133" t="s">
        <v>1373</v>
      </c>
      <c r="D192" s="15" t="s">
        <v>31</v>
      </c>
      <c r="E192" s="16" t="s">
        <v>1020</v>
      </c>
      <c r="F192" s="85" t="s">
        <v>1365</v>
      </c>
      <c r="G192" s="87" t="s">
        <v>116</v>
      </c>
      <c r="H192" s="180" t="s">
        <v>35</v>
      </c>
      <c r="I192" s="150" t="s">
        <v>97</v>
      </c>
      <c r="J192" s="331" t="s">
        <v>1374</v>
      </c>
      <c r="K192" s="151" t="s">
        <v>33</v>
      </c>
      <c r="L192" s="147">
        <v>6671873</v>
      </c>
      <c r="M192" s="15" t="s">
        <v>20</v>
      </c>
    </row>
    <row r="193" spans="2:13" x14ac:dyDescent="0.3">
      <c r="B193" s="87">
        <v>44118</v>
      </c>
      <c r="C193" s="132" t="s">
        <v>1375</v>
      </c>
      <c r="D193" s="15" t="s">
        <v>31</v>
      </c>
      <c r="E193" s="16" t="s">
        <v>1020</v>
      </c>
      <c r="F193" s="85" t="s">
        <v>1365</v>
      </c>
      <c r="G193" s="87" t="s">
        <v>116</v>
      </c>
      <c r="H193" s="180" t="s">
        <v>35</v>
      </c>
      <c r="I193" s="150" t="s">
        <v>97</v>
      </c>
      <c r="J193" s="331" t="s">
        <v>1374</v>
      </c>
      <c r="K193" s="15" t="s">
        <v>33</v>
      </c>
      <c r="L193" s="147">
        <v>6671873</v>
      </c>
      <c r="M193" s="15" t="s">
        <v>20</v>
      </c>
    </row>
    <row r="194" spans="2:13" x14ac:dyDescent="0.3">
      <c r="B194" s="87">
        <v>44118</v>
      </c>
      <c r="C194" s="132" t="s">
        <v>1376</v>
      </c>
      <c r="D194" s="16" t="s">
        <v>31</v>
      </c>
      <c r="E194" s="16" t="s">
        <v>1020</v>
      </c>
      <c r="F194" s="85" t="s">
        <v>1365</v>
      </c>
      <c r="G194" s="87" t="s">
        <v>116</v>
      </c>
      <c r="H194" s="180" t="s">
        <v>35</v>
      </c>
      <c r="I194" s="131" t="s">
        <v>97</v>
      </c>
      <c r="J194" s="333" t="s">
        <v>1374</v>
      </c>
      <c r="K194" s="15" t="s">
        <v>33</v>
      </c>
      <c r="L194" s="147">
        <v>6671873</v>
      </c>
      <c r="M194" s="15" t="s">
        <v>20</v>
      </c>
    </row>
    <row r="195" spans="2:13" x14ac:dyDescent="0.3">
      <c r="B195" s="87">
        <v>44118</v>
      </c>
      <c r="C195" s="132" t="s">
        <v>1377</v>
      </c>
      <c r="D195" s="16" t="s">
        <v>31</v>
      </c>
      <c r="E195" s="16" t="s">
        <v>1020</v>
      </c>
      <c r="F195" s="85" t="s">
        <v>1365</v>
      </c>
      <c r="G195" s="87" t="s">
        <v>116</v>
      </c>
      <c r="H195" s="180" t="s">
        <v>35</v>
      </c>
      <c r="I195" s="131" t="s">
        <v>97</v>
      </c>
      <c r="J195" s="333" t="s">
        <v>1374</v>
      </c>
      <c r="K195" s="15" t="s">
        <v>33</v>
      </c>
      <c r="L195" s="147">
        <v>6671873</v>
      </c>
      <c r="M195" s="15" t="s">
        <v>20</v>
      </c>
    </row>
    <row r="196" spans="2:13" x14ac:dyDescent="0.3">
      <c r="B196" s="87">
        <v>44119</v>
      </c>
      <c r="C196" s="133" t="s">
        <v>1321</v>
      </c>
      <c r="D196" s="15" t="s">
        <v>31</v>
      </c>
      <c r="E196" s="16" t="s">
        <v>1020</v>
      </c>
      <c r="F196" s="15" t="s">
        <v>1365</v>
      </c>
      <c r="G196" s="131" t="s">
        <v>116</v>
      </c>
      <c r="H196" s="180" t="s">
        <v>38</v>
      </c>
      <c r="I196" s="87" t="s">
        <v>97</v>
      </c>
      <c r="J196" s="332">
        <v>44128</v>
      </c>
      <c r="K196" s="15" t="s">
        <v>33</v>
      </c>
      <c r="L196" s="147">
        <v>4040165</v>
      </c>
      <c r="M196" s="15" t="s">
        <v>20</v>
      </c>
    </row>
    <row r="197" spans="2:13" x14ac:dyDescent="0.3">
      <c r="B197" s="87">
        <v>44113</v>
      </c>
      <c r="C197" s="133" t="s">
        <v>1385</v>
      </c>
      <c r="D197" s="15" t="s">
        <v>36</v>
      </c>
      <c r="E197" s="16" t="s">
        <v>121</v>
      </c>
      <c r="F197" s="15" t="s">
        <v>126</v>
      </c>
      <c r="G197" s="131" t="s">
        <v>614</v>
      </c>
      <c r="H197" s="180" t="s">
        <v>32</v>
      </c>
      <c r="I197" s="87" t="s">
        <v>97</v>
      </c>
      <c r="J197" s="332">
        <v>44113</v>
      </c>
      <c r="K197" s="15" t="s">
        <v>33</v>
      </c>
      <c r="L197" s="147">
        <v>1700000</v>
      </c>
      <c r="M197" s="15" t="s">
        <v>20</v>
      </c>
    </row>
    <row r="198" spans="2:13" x14ac:dyDescent="0.3">
      <c r="B198" s="87">
        <v>44113</v>
      </c>
      <c r="C198" s="133" t="s">
        <v>1386</v>
      </c>
      <c r="D198" s="15" t="s">
        <v>36</v>
      </c>
      <c r="E198" s="16" t="s">
        <v>121</v>
      </c>
      <c r="F198" s="15" t="s">
        <v>126</v>
      </c>
      <c r="G198" s="131" t="s">
        <v>614</v>
      </c>
      <c r="H198" s="180" t="s">
        <v>32</v>
      </c>
      <c r="I198" s="87" t="s">
        <v>97</v>
      </c>
      <c r="J198" s="332">
        <v>44113</v>
      </c>
      <c r="K198" s="15" t="s">
        <v>33</v>
      </c>
      <c r="L198" s="147">
        <v>1700000</v>
      </c>
      <c r="M198" s="15" t="s">
        <v>20</v>
      </c>
    </row>
    <row r="199" spans="2:13" x14ac:dyDescent="0.3">
      <c r="B199" s="87">
        <v>44113</v>
      </c>
      <c r="C199" s="153" t="s">
        <v>1385</v>
      </c>
      <c r="D199" s="15" t="s">
        <v>36</v>
      </c>
      <c r="E199" s="86" t="s">
        <v>121</v>
      </c>
      <c r="F199" s="86" t="s">
        <v>126</v>
      </c>
      <c r="G199" s="87" t="s">
        <v>1387</v>
      </c>
      <c r="H199" s="180" t="s">
        <v>32</v>
      </c>
      <c r="I199" s="150" t="s">
        <v>97</v>
      </c>
      <c r="J199" s="331">
        <v>44113</v>
      </c>
      <c r="K199" s="15" t="s">
        <v>33</v>
      </c>
      <c r="L199" s="147">
        <v>6998000</v>
      </c>
      <c r="M199" s="15" t="s">
        <v>20</v>
      </c>
    </row>
    <row r="200" spans="2:13" x14ac:dyDescent="0.3">
      <c r="B200" s="87">
        <v>44113</v>
      </c>
      <c r="C200" s="153" t="s">
        <v>1386</v>
      </c>
      <c r="D200" s="15" t="s">
        <v>36</v>
      </c>
      <c r="E200" s="85" t="s">
        <v>121</v>
      </c>
      <c r="F200" s="86" t="s">
        <v>126</v>
      </c>
      <c r="G200" s="87" t="s">
        <v>614</v>
      </c>
      <c r="H200" s="180" t="s">
        <v>32</v>
      </c>
      <c r="I200" s="150" t="s">
        <v>97</v>
      </c>
      <c r="J200" s="331">
        <v>44116</v>
      </c>
      <c r="K200" s="15" t="s">
        <v>33</v>
      </c>
      <c r="L200" s="147">
        <v>1050000</v>
      </c>
      <c r="M200" s="15" t="s">
        <v>20</v>
      </c>
    </row>
    <row r="201" spans="2:13" x14ac:dyDescent="0.3">
      <c r="B201" s="87">
        <v>44113</v>
      </c>
      <c r="C201" s="133" t="s">
        <v>1384</v>
      </c>
      <c r="D201" s="15" t="s">
        <v>36</v>
      </c>
      <c r="E201" s="86" t="s">
        <v>121</v>
      </c>
      <c r="F201" s="85" t="s">
        <v>126</v>
      </c>
      <c r="G201" s="87" t="s">
        <v>614</v>
      </c>
      <c r="H201" s="180" t="s">
        <v>32</v>
      </c>
      <c r="I201" s="150" t="s">
        <v>97</v>
      </c>
      <c r="J201" s="331">
        <v>44116</v>
      </c>
      <c r="K201" s="335" t="s">
        <v>33</v>
      </c>
      <c r="L201" s="147">
        <v>1050000</v>
      </c>
      <c r="M201" s="15" t="s">
        <v>20</v>
      </c>
    </row>
    <row r="202" spans="2:13" x14ac:dyDescent="0.3">
      <c r="B202" s="87">
        <v>44113</v>
      </c>
      <c r="C202" s="133" t="s">
        <v>1388</v>
      </c>
      <c r="D202" s="15" t="s">
        <v>36</v>
      </c>
      <c r="E202" s="86" t="s">
        <v>121</v>
      </c>
      <c r="F202" s="85" t="s">
        <v>126</v>
      </c>
      <c r="G202" s="87" t="s">
        <v>614</v>
      </c>
      <c r="H202" s="180" t="s">
        <v>32</v>
      </c>
      <c r="I202" s="150" t="s">
        <v>97</v>
      </c>
      <c r="J202" s="331">
        <v>44116</v>
      </c>
      <c r="K202" s="15" t="s">
        <v>33</v>
      </c>
      <c r="L202" s="147">
        <v>1215000</v>
      </c>
      <c r="M202" s="15" t="s">
        <v>20</v>
      </c>
    </row>
    <row r="203" spans="2:13" x14ac:dyDescent="0.3">
      <c r="B203" s="131">
        <v>44130</v>
      </c>
      <c r="C203" s="132" t="s">
        <v>1424</v>
      </c>
      <c r="D203" s="16" t="s">
        <v>36</v>
      </c>
      <c r="E203" s="85" t="s">
        <v>121</v>
      </c>
      <c r="F203" s="85" t="s">
        <v>1425</v>
      </c>
      <c r="G203" s="87" t="s">
        <v>116</v>
      </c>
      <c r="H203" s="180" t="s">
        <v>1426</v>
      </c>
      <c r="I203" s="131" t="s">
        <v>97</v>
      </c>
      <c r="J203" s="333">
        <v>44130</v>
      </c>
      <c r="K203" s="15" t="s">
        <v>39</v>
      </c>
      <c r="L203" s="147">
        <v>13727517</v>
      </c>
      <c r="M203" s="15" t="s">
        <v>20</v>
      </c>
    </row>
    <row r="204" spans="2:13" x14ac:dyDescent="0.3">
      <c r="B204" s="131">
        <v>44130</v>
      </c>
      <c r="C204" s="132" t="s">
        <v>1427</v>
      </c>
      <c r="D204" s="16" t="s">
        <v>36</v>
      </c>
      <c r="E204" s="85" t="s">
        <v>121</v>
      </c>
      <c r="F204" s="85" t="s">
        <v>1425</v>
      </c>
      <c r="G204" s="87" t="s">
        <v>116</v>
      </c>
      <c r="H204" s="180" t="s">
        <v>1426</v>
      </c>
      <c r="I204" s="131" t="s">
        <v>97</v>
      </c>
      <c r="J204" s="333">
        <v>44130</v>
      </c>
      <c r="K204" s="15" t="s">
        <v>39</v>
      </c>
      <c r="L204" s="147">
        <v>13727517</v>
      </c>
      <c r="M204" s="15" t="s">
        <v>20</v>
      </c>
    </row>
    <row r="205" spans="2:13" x14ac:dyDescent="0.3">
      <c r="B205" s="131">
        <v>44130</v>
      </c>
      <c r="C205" s="132" t="s">
        <v>1428</v>
      </c>
      <c r="D205" s="16" t="s">
        <v>36</v>
      </c>
      <c r="E205" s="85" t="s">
        <v>121</v>
      </c>
      <c r="F205" s="85" t="s">
        <v>126</v>
      </c>
      <c r="G205" s="87" t="s">
        <v>116</v>
      </c>
      <c r="H205" s="180" t="s">
        <v>1347</v>
      </c>
      <c r="I205" s="131" t="s">
        <v>97</v>
      </c>
      <c r="J205" s="333">
        <v>44131</v>
      </c>
      <c r="K205" s="15" t="s">
        <v>39</v>
      </c>
      <c r="L205" s="147">
        <v>10756635</v>
      </c>
      <c r="M205" s="15" t="s">
        <v>20</v>
      </c>
    </row>
    <row r="206" spans="2:13" x14ac:dyDescent="0.3">
      <c r="B206" s="131">
        <v>44130</v>
      </c>
      <c r="C206" s="132" t="s">
        <v>1429</v>
      </c>
      <c r="D206" s="16" t="s">
        <v>36</v>
      </c>
      <c r="E206" s="85" t="s">
        <v>121</v>
      </c>
      <c r="F206" s="85" t="s">
        <v>126</v>
      </c>
      <c r="G206" s="87" t="s">
        <v>486</v>
      </c>
      <c r="H206" s="180" t="s">
        <v>1347</v>
      </c>
      <c r="I206" s="131" t="s">
        <v>97</v>
      </c>
      <c r="J206" s="333">
        <v>44131</v>
      </c>
      <c r="K206" s="15" t="s">
        <v>39</v>
      </c>
      <c r="L206" s="147">
        <v>1346784</v>
      </c>
      <c r="M206" s="15" t="s">
        <v>20</v>
      </c>
    </row>
    <row r="207" spans="2:13" x14ac:dyDescent="0.3">
      <c r="B207" s="131">
        <v>44130</v>
      </c>
      <c r="C207" s="132" t="s">
        <v>1428</v>
      </c>
      <c r="D207" s="16" t="s">
        <v>36</v>
      </c>
      <c r="E207" s="85" t="s">
        <v>121</v>
      </c>
      <c r="F207" s="85" t="s">
        <v>126</v>
      </c>
      <c r="G207" s="87" t="s">
        <v>116</v>
      </c>
      <c r="H207" s="180" t="s">
        <v>32</v>
      </c>
      <c r="I207" s="131" t="s">
        <v>97</v>
      </c>
      <c r="J207" s="333">
        <v>44131</v>
      </c>
      <c r="K207" s="15" t="s">
        <v>33</v>
      </c>
      <c r="L207" s="147">
        <v>8877035</v>
      </c>
      <c r="M207" s="15" t="s">
        <v>20</v>
      </c>
    </row>
    <row r="208" spans="2:13" x14ac:dyDescent="0.3">
      <c r="B208" s="131">
        <v>44130</v>
      </c>
      <c r="C208" s="132" t="s">
        <v>1429</v>
      </c>
      <c r="D208" s="16" t="s">
        <v>36</v>
      </c>
      <c r="E208" s="85" t="s">
        <v>121</v>
      </c>
      <c r="F208" s="85" t="s">
        <v>126</v>
      </c>
      <c r="G208" s="87" t="s">
        <v>1430</v>
      </c>
      <c r="H208" s="180" t="s">
        <v>32</v>
      </c>
      <c r="I208" s="131" t="s">
        <v>97</v>
      </c>
      <c r="J208" s="333">
        <v>44131</v>
      </c>
      <c r="K208" s="15" t="s">
        <v>33</v>
      </c>
      <c r="L208" s="147">
        <v>4271973</v>
      </c>
      <c r="M208" s="15" t="s">
        <v>20</v>
      </c>
    </row>
    <row r="209" spans="2:13" x14ac:dyDescent="0.3">
      <c r="B209" s="131">
        <v>44130</v>
      </c>
      <c r="C209" s="132" t="s">
        <v>1428</v>
      </c>
      <c r="D209" s="16" t="s">
        <v>36</v>
      </c>
      <c r="E209" s="85" t="s">
        <v>121</v>
      </c>
      <c r="F209" s="85" t="s">
        <v>126</v>
      </c>
      <c r="G209" s="87" t="s">
        <v>1354</v>
      </c>
      <c r="H209" s="180" t="s">
        <v>32</v>
      </c>
      <c r="I209" s="131" t="s">
        <v>97</v>
      </c>
      <c r="J209" s="333">
        <v>44131</v>
      </c>
      <c r="K209" s="15" t="s">
        <v>33</v>
      </c>
      <c r="L209" s="147">
        <v>990000</v>
      </c>
      <c r="M209" s="15" t="s">
        <v>20</v>
      </c>
    </row>
    <row r="210" spans="2:13" x14ac:dyDescent="0.3">
      <c r="B210" s="131">
        <v>44133</v>
      </c>
      <c r="C210" s="132" t="s">
        <v>1435</v>
      </c>
      <c r="D210" s="16" t="s">
        <v>36</v>
      </c>
      <c r="E210" s="85" t="s">
        <v>121</v>
      </c>
      <c r="F210" s="85" t="s">
        <v>1436</v>
      </c>
      <c r="G210" s="87" t="s">
        <v>116</v>
      </c>
      <c r="H210" s="180" t="s">
        <v>37</v>
      </c>
      <c r="I210" s="131" t="s">
        <v>97</v>
      </c>
      <c r="J210" s="333" t="s">
        <v>1437</v>
      </c>
      <c r="K210" s="15" t="s">
        <v>33</v>
      </c>
      <c r="L210" s="147">
        <v>7334612</v>
      </c>
      <c r="M210" s="15" t="s">
        <v>20</v>
      </c>
    </row>
    <row r="211" spans="2:13" x14ac:dyDescent="0.3">
      <c r="B211" s="131">
        <v>44133</v>
      </c>
      <c r="C211" s="132" t="s">
        <v>1438</v>
      </c>
      <c r="D211" s="16" t="s">
        <v>36</v>
      </c>
      <c r="E211" s="85" t="s">
        <v>121</v>
      </c>
      <c r="F211" s="85" t="s">
        <v>1436</v>
      </c>
      <c r="G211" s="87" t="s">
        <v>116</v>
      </c>
      <c r="H211" s="180" t="s">
        <v>37</v>
      </c>
      <c r="I211" s="131" t="s">
        <v>97</v>
      </c>
      <c r="J211" s="333" t="s">
        <v>1437</v>
      </c>
      <c r="K211" s="15" t="s">
        <v>33</v>
      </c>
      <c r="L211" s="147">
        <v>7334612</v>
      </c>
      <c r="M211" s="15" t="s">
        <v>20</v>
      </c>
    </row>
    <row r="212" spans="2:13" x14ac:dyDescent="0.3">
      <c r="B212" s="131">
        <v>44134</v>
      </c>
      <c r="C212" s="132" t="s">
        <v>613</v>
      </c>
      <c r="D212" s="16" t="s">
        <v>36</v>
      </c>
      <c r="E212" s="85" t="s">
        <v>121</v>
      </c>
      <c r="F212" s="85" t="s">
        <v>126</v>
      </c>
      <c r="G212" s="87" t="s">
        <v>116</v>
      </c>
      <c r="H212" s="180" t="s">
        <v>38</v>
      </c>
      <c r="I212" s="131" t="s">
        <v>97</v>
      </c>
      <c r="J212" s="333">
        <v>44134</v>
      </c>
      <c r="K212" s="15" t="s">
        <v>39</v>
      </c>
      <c r="L212" s="147">
        <v>4845943</v>
      </c>
      <c r="M212" s="15" t="s">
        <v>20</v>
      </c>
    </row>
    <row r="213" spans="2:13" x14ac:dyDescent="0.3">
      <c r="B213" s="131">
        <v>44134</v>
      </c>
      <c r="C213" s="132" t="s">
        <v>1439</v>
      </c>
      <c r="D213" s="16" t="s">
        <v>36</v>
      </c>
      <c r="E213" s="85" t="s">
        <v>121</v>
      </c>
      <c r="F213" s="85" t="s">
        <v>126</v>
      </c>
      <c r="G213" s="87" t="s">
        <v>116</v>
      </c>
      <c r="H213" s="180" t="s">
        <v>38</v>
      </c>
      <c r="I213" s="131" t="s">
        <v>97</v>
      </c>
      <c r="J213" s="333">
        <v>44134</v>
      </c>
      <c r="K213" s="15" t="s">
        <v>39</v>
      </c>
      <c r="L213" s="147">
        <v>4854593</v>
      </c>
      <c r="M213" s="15" t="s">
        <v>20</v>
      </c>
    </row>
    <row r="214" spans="2:13" x14ac:dyDescent="0.3">
      <c r="B214" s="131">
        <v>44134</v>
      </c>
      <c r="C214" s="132" t="s">
        <v>1440</v>
      </c>
      <c r="D214" s="16" t="s">
        <v>36</v>
      </c>
      <c r="E214" s="85" t="s">
        <v>121</v>
      </c>
      <c r="F214" s="85" t="s">
        <v>126</v>
      </c>
      <c r="G214" s="87" t="s">
        <v>486</v>
      </c>
      <c r="H214" s="180" t="s">
        <v>32</v>
      </c>
      <c r="I214" s="131" t="s">
        <v>97</v>
      </c>
      <c r="J214" s="333">
        <v>44136</v>
      </c>
      <c r="K214" s="15" t="s">
        <v>33</v>
      </c>
      <c r="L214" s="147">
        <v>4774230</v>
      </c>
      <c r="M214" s="15" t="s">
        <v>20</v>
      </c>
    </row>
    <row r="215" spans="2:13" x14ac:dyDescent="0.3">
      <c r="B215" s="131">
        <v>44134</v>
      </c>
      <c r="C215" s="132" t="s">
        <v>1439</v>
      </c>
      <c r="D215" s="16" t="s">
        <v>36</v>
      </c>
      <c r="E215" s="85" t="s">
        <v>121</v>
      </c>
      <c r="F215" s="85" t="s">
        <v>126</v>
      </c>
      <c r="G215" s="87" t="s">
        <v>116</v>
      </c>
      <c r="H215" s="180" t="s">
        <v>32</v>
      </c>
      <c r="I215" s="131" t="s">
        <v>97</v>
      </c>
      <c r="J215" s="333">
        <v>44136</v>
      </c>
      <c r="K215" s="15" t="s">
        <v>33</v>
      </c>
      <c r="L215" s="147">
        <v>8877822</v>
      </c>
      <c r="M215" s="15" t="s">
        <v>20</v>
      </c>
    </row>
    <row r="216" spans="2:13" x14ac:dyDescent="0.3">
      <c r="B216" s="131">
        <v>44134</v>
      </c>
      <c r="C216" s="132" t="s">
        <v>613</v>
      </c>
      <c r="D216" s="16" t="s">
        <v>36</v>
      </c>
      <c r="E216" s="85" t="s">
        <v>121</v>
      </c>
      <c r="F216" s="85" t="s">
        <v>126</v>
      </c>
      <c r="G216" s="87" t="s">
        <v>1354</v>
      </c>
      <c r="H216" s="180" t="s">
        <v>38</v>
      </c>
      <c r="I216" s="131" t="s">
        <v>97</v>
      </c>
      <c r="J216" s="333">
        <v>44134</v>
      </c>
      <c r="K216" s="15" t="s">
        <v>39</v>
      </c>
      <c r="L216" s="147">
        <v>990000</v>
      </c>
      <c r="M216" s="15" t="s">
        <v>20</v>
      </c>
    </row>
    <row r="217" spans="2:13" x14ac:dyDescent="0.3">
      <c r="B217" s="131">
        <v>44134</v>
      </c>
      <c r="C217" s="132" t="s">
        <v>1439</v>
      </c>
      <c r="D217" s="16" t="s">
        <v>36</v>
      </c>
      <c r="E217" s="85" t="s">
        <v>121</v>
      </c>
      <c r="F217" s="85" t="s">
        <v>126</v>
      </c>
      <c r="G217" s="87" t="s">
        <v>1354</v>
      </c>
      <c r="H217" s="180" t="s">
        <v>38</v>
      </c>
      <c r="I217" s="131" t="s">
        <v>97</v>
      </c>
      <c r="J217" s="333">
        <v>44134</v>
      </c>
      <c r="K217" s="15" t="s">
        <v>39</v>
      </c>
      <c r="L217" s="147">
        <v>990000</v>
      </c>
      <c r="M217" s="15" t="s">
        <v>20</v>
      </c>
    </row>
    <row r="218" spans="2:13" x14ac:dyDescent="0.3">
      <c r="B218" s="131">
        <v>44134</v>
      </c>
      <c r="C218" s="132" t="s">
        <v>613</v>
      </c>
      <c r="D218" s="16" t="s">
        <v>36</v>
      </c>
      <c r="E218" s="85" t="s">
        <v>121</v>
      </c>
      <c r="F218" s="85" t="s">
        <v>126</v>
      </c>
      <c r="G218" s="87" t="s">
        <v>645</v>
      </c>
      <c r="H218" s="180" t="s">
        <v>38</v>
      </c>
      <c r="I218" s="131" t="s">
        <v>97</v>
      </c>
      <c r="J218" s="333">
        <v>44134</v>
      </c>
      <c r="K218" s="15" t="s">
        <v>39</v>
      </c>
      <c r="L218" s="147">
        <v>3605000</v>
      </c>
      <c r="M218" s="15" t="s">
        <v>20</v>
      </c>
    </row>
    <row r="219" spans="2:13" x14ac:dyDescent="0.3">
      <c r="B219" s="131">
        <v>44119</v>
      </c>
      <c r="C219" s="132" t="s">
        <v>1392</v>
      </c>
      <c r="D219" s="16" t="s">
        <v>31</v>
      </c>
      <c r="E219" s="16" t="s">
        <v>1020</v>
      </c>
      <c r="F219" s="85" t="s">
        <v>1365</v>
      </c>
      <c r="G219" s="87" t="s">
        <v>116</v>
      </c>
      <c r="H219" s="180" t="s">
        <v>38</v>
      </c>
      <c r="I219" s="131" t="s">
        <v>97</v>
      </c>
      <c r="J219" s="333">
        <v>44123</v>
      </c>
      <c r="K219" s="15" t="s">
        <v>39</v>
      </c>
      <c r="L219" s="147">
        <v>6977318</v>
      </c>
      <c r="M219" s="15" t="s">
        <v>20</v>
      </c>
    </row>
    <row r="220" spans="2:13" x14ac:dyDescent="0.3">
      <c r="B220" s="131">
        <v>44119</v>
      </c>
      <c r="C220" s="132" t="s">
        <v>1393</v>
      </c>
      <c r="D220" s="16" t="s">
        <v>31</v>
      </c>
      <c r="E220" s="16" t="s">
        <v>1020</v>
      </c>
      <c r="F220" s="85" t="s">
        <v>1365</v>
      </c>
      <c r="G220" s="87" t="s">
        <v>116</v>
      </c>
      <c r="H220" s="180" t="s">
        <v>38</v>
      </c>
      <c r="I220" s="131" t="s">
        <v>97</v>
      </c>
      <c r="J220" s="333">
        <v>44126</v>
      </c>
      <c r="K220" s="15" t="s">
        <v>33</v>
      </c>
      <c r="L220" s="147">
        <v>4277214</v>
      </c>
      <c r="M220" s="15" t="s">
        <v>20</v>
      </c>
    </row>
    <row r="221" spans="2:13" x14ac:dyDescent="0.3">
      <c r="B221" s="131">
        <v>44134</v>
      </c>
      <c r="C221" s="132" t="s">
        <v>1439</v>
      </c>
      <c r="D221" s="16" t="s">
        <v>36</v>
      </c>
      <c r="E221" s="85" t="s">
        <v>121</v>
      </c>
      <c r="F221" s="85" t="s">
        <v>126</v>
      </c>
      <c r="G221" s="87" t="s">
        <v>645</v>
      </c>
      <c r="H221" s="180" t="s">
        <v>38</v>
      </c>
      <c r="I221" s="131" t="s">
        <v>97</v>
      </c>
      <c r="J221" s="333">
        <v>44134</v>
      </c>
      <c r="K221" s="15" t="s">
        <v>39</v>
      </c>
      <c r="L221" s="147">
        <v>515000</v>
      </c>
      <c r="M221" s="15" t="s">
        <v>20</v>
      </c>
    </row>
    <row r="222" spans="2:13" x14ac:dyDescent="0.3">
      <c r="B222" s="131">
        <v>44135</v>
      </c>
      <c r="C222" s="132" t="s">
        <v>1441</v>
      </c>
      <c r="D222" s="16" t="s">
        <v>36</v>
      </c>
      <c r="E222" s="85" t="s">
        <v>121</v>
      </c>
      <c r="F222" s="85" t="s">
        <v>1436</v>
      </c>
      <c r="G222" s="87" t="s">
        <v>116</v>
      </c>
      <c r="H222" s="180" t="s">
        <v>37</v>
      </c>
      <c r="I222" s="131" t="s">
        <v>97</v>
      </c>
      <c r="J222" s="333" t="s">
        <v>1437</v>
      </c>
      <c r="K222" s="15" t="s">
        <v>33</v>
      </c>
      <c r="L222" s="147">
        <v>10270914</v>
      </c>
      <c r="M222" s="15" t="s">
        <v>20</v>
      </c>
    </row>
    <row r="223" spans="2:13" x14ac:dyDescent="0.3">
      <c r="B223" s="131">
        <v>44135</v>
      </c>
      <c r="C223" s="132" t="s">
        <v>1429</v>
      </c>
      <c r="D223" s="16" t="s">
        <v>36</v>
      </c>
      <c r="E223" s="85" t="s">
        <v>121</v>
      </c>
      <c r="F223" s="85" t="s">
        <v>126</v>
      </c>
      <c r="G223" s="87" t="s">
        <v>116</v>
      </c>
      <c r="H223" s="180" t="s">
        <v>32</v>
      </c>
      <c r="I223" s="131" t="s">
        <v>97</v>
      </c>
      <c r="J223" s="333">
        <v>44137</v>
      </c>
      <c r="K223" s="15" t="s">
        <v>39</v>
      </c>
      <c r="L223" s="147">
        <v>12548671</v>
      </c>
      <c r="M223" s="15" t="s">
        <v>20</v>
      </c>
    </row>
    <row r="224" spans="2:13" x14ac:dyDescent="0.3">
      <c r="B224" s="131">
        <v>44135</v>
      </c>
      <c r="C224" s="132" t="s">
        <v>1443</v>
      </c>
      <c r="D224" s="16" t="s">
        <v>36</v>
      </c>
      <c r="E224" s="85" t="s">
        <v>121</v>
      </c>
      <c r="F224" s="85" t="s">
        <v>126</v>
      </c>
      <c r="G224" s="87" t="s">
        <v>116</v>
      </c>
      <c r="H224" s="180" t="s">
        <v>32</v>
      </c>
      <c r="I224" s="131" t="s">
        <v>97</v>
      </c>
      <c r="J224" s="333">
        <v>44137</v>
      </c>
      <c r="K224" s="15" t="s">
        <v>39</v>
      </c>
      <c r="L224" s="147">
        <v>12548671</v>
      </c>
      <c r="M224" s="15" t="s">
        <v>20</v>
      </c>
    </row>
    <row r="225" spans="2:13" x14ac:dyDescent="0.3">
      <c r="B225" s="131">
        <v>44130</v>
      </c>
      <c r="C225" s="132" t="s">
        <v>1432</v>
      </c>
      <c r="D225" s="16" t="s">
        <v>31</v>
      </c>
      <c r="E225" s="16" t="s">
        <v>1020</v>
      </c>
      <c r="F225" s="85" t="s">
        <v>1365</v>
      </c>
      <c r="G225" s="87" t="s">
        <v>116</v>
      </c>
      <c r="H225" s="180" t="s">
        <v>32</v>
      </c>
      <c r="I225" s="131" t="s">
        <v>97</v>
      </c>
      <c r="J225" s="333">
        <v>44133</v>
      </c>
      <c r="K225" s="15" t="s">
        <v>33</v>
      </c>
      <c r="L225" s="147">
        <v>4064538</v>
      </c>
      <c r="M225" s="15" t="s">
        <v>19</v>
      </c>
    </row>
    <row r="226" spans="2:13" x14ac:dyDescent="0.3">
      <c r="B226" s="131">
        <v>44135</v>
      </c>
      <c r="C226" s="132" t="s">
        <v>1429</v>
      </c>
      <c r="D226" s="16" t="s">
        <v>36</v>
      </c>
      <c r="E226" s="85" t="s">
        <v>121</v>
      </c>
      <c r="F226" s="85" t="s">
        <v>126</v>
      </c>
      <c r="G226" s="87" t="s">
        <v>1354</v>
      </c>
      <c r="H226" s="180" t="s">
        <v>32</v>
      </c>
      <c r="I226" s="131" t="s">
        <v>97</v>
      </c>
      <c r="J226" s="333">
        <v>44137</v>
      </c>
      <c r="K226" s="15" t="s">
        <v>39</v>
      </c>
      <c r="L226" s="147">
        <v>990000</v>
      </c>
      <c r="M226" s="15" t="s">
        <v>20</v>
      </c>
    </row>
    <row r="227" spans="2:13" x14ac:dyDescent="0.3">
      <c r="B227" s="131">
        <v>44135</v>
      </c>
      <c r="C227" s="132" t="s">
        <v>1444</v>
      </c>
      <c r="D227" s="16" t="s">
        <v>36</v>
      </c>
      <c r="E227" s="85" t="s">
        <v>121</v>
      </c>
      <c r="F227" s="85" t="s">
        <v>126</v>
      </c>
      <c r="G227" s="87" t="s">
        <v>1354</v>
      </c>
      <c r="H227" s="180" t="s">
        <v>32</v>
      </c>
      <c r="I227" s="131" t="s">
        <v>97</v>
      </c>
      <c r="J227" s="333">
        <v>44137</v>
      </c>
      <c r="K227" s="15" t="s">
        <v>39</v>
      </c>
      <c r="L227" s="147">
        <v>990000</v>
      </c>
      <c r="M227" s="15" t="s">
        <v>20</v>
      </c>
    </row>
    <row r="228" spans="2:13" x14ac:dyDescent="0.3">
      <c r="B228" s="131">
        <v>44134</v>
      </c>
      <c r="C228" s="132" t="s">
        <v>1563</v>
      </c>
      <c r="D228" s="16" t="s">
        <v>36</v>
      </c>
      <c r="E228" s="85" t="s">
        <v>434</v>
      </c>
      <c r="F228" s="85" t="s">
        <v>1564</v>
      </c>
      <c r="G228" s="87" t="s">
        <v>301</v>
      </c>
      <c r="H228" s="180" t="s">
        <v>37</v>
      </c>
      <c r="I228" s="131" t="s">
        <v>97</v>
      </c>
      <c r="J228" s="333" t="s">
        <v>1597</v>
      </c>
      <c r="K228" s="15" t="s">
        <v>33</v>
      </c>
      <c r="L228" s="147">
        <v>10270914</v>
      </c>
      <c r="M228" s="15" t="s">
        <v>20</v>
      </c>
    </row>
    <row r="229" spans="2:13" x14ac:dyDescent="0.3">
      <c r="B229" s="131">
        <v>44134</v>
      </c>
      <c r="C229" s="132" t="s">
        <v>1565</v>
      </c>
      <c r="D229" s="16" t="s">
        <v>36</v>
      </c>
      <c r="E229" s="85" t="s">
        <v>434</v>
      </c>
      <c r="F229" s="85" t="s">
        <v>1564</v>
      </c>
      <c r="G229" s="87" t="s">
        <v>301</v>
      </c>
      <c r="H229" s="180" t="s">
        <v>37</v>
      </c>
      <c r="I229" s="131" t="s">
        <v>97</v>
      </c>
      <c r="J229" s="333" t="s">
        <v>1597</v>
      </c>
      <c r="K229" s="15" t="s">
        <v>33</v>
      </c>
      <c r="L229" s="147">
        <v>10270914</v>
      </c>
      <c r="M229" s="15" t="s">
        <v>20</v>
      </c>
    </row>
    <row r="230" spans="2:13" x14ac:dyDescent="0.3">
      <c r="B230" s="131">
        <v>44134</v>
      </c>
      <c r="C230" s="132" t="s">
        <v>1566</v>
      </c>
      <c r="D230" s="16" t="s">
        <v>36</v>
      </c>
      <c r="E230" s="85" t="s">
        <v>434</v>
      </c>
      <c r="F230" s="85" t="s">
        <v>1564</v>
      </c>
      <c r="G230" s="87" t="s">
        <v>301</v>
      </c>
      <c r="H230" s="180" t="s">
        <v>37</v>
      </c>
      <c r="I230" s="131" t="s">
        <v>97</v>
      </c>
      <c r="J230" s="333" t="s">
        <v>1597</v>
      </c>
      <c r="K230" s="15" t="s">
        <v>33</v>
      </c>
      <c r="L230" s="147">
        <v>10270914</v>
      </c>
      <c r="M230" s="15" t="s">
        <v>19</v>
      </c>
    </row>
    <row r="231" spans="2:13" x14ac:dyDescent="0.3">
      <c r="B231" s="131">
        <v>44130</v>
      </c>
      <c r="C231" s="132" t="s">
        <v>1434</v>
      </c>
      <c r="D231" s="16" t="s">
        <v>31</v>
      </c>
      <c r="E231" s="16" t="s">
        <v>1020</v>
      </c>
      <c r="F231" s="85" t="s">
        <v>1365</v>
      </c>
      <c r="G231" s="87" t="s">
        <v>116</v>
      </c>
      <c r="H231" s="180" t="s">
        <v>32</v>
      </c>
      <c r="I231" s="131" t="s">
        <v>97</v>
      </c>
      <c r="J231" s="333">
        <v>44133</v>
      </c>
      <c r="K231" s="15" t="s">
        <v>33</v>
      </c>
      <c r="L231" s="147">
        <v>3276284</v>
      </c>
      <c r="M231" s="15" t="s">
        <v>19</v>
      </c>
    </row>
    <row r="232" spans="2:13" x14ac:dyDescent="0.3">
      <c r="B232" s="131">
        <v>44134</v>
      </c>
      <c r="C232" s="132" t="s">
        <v>1567</v>
      </c>
      <c r="D232" s="16" t="s">
        <v>36</v>
      </c>
      <c r="E232" s="85" t="s">
        <v>434</v>
      </c>
      <c r="F232" s="85" t="s">
        <v>1564</v>
      </c>
      <c r="G232" s="87" t="s">
        <v>301</v>
      </c>
      <c r="H232" s="180" t="s">
        <v>37</v>
      </c>
      <c r="I232" s="131" t="s">
        <v>97</v>
      </c>
      <c r="J232" s="333" t="s">
        <v>1597</v>
      </c>
      <c r="K232" s="15" t="s">
        <v>33</v>
      </c>
      <c r="L232" s="147">
        <v>10270914</v>
      </c>
      <c r="M232" s="15" t="s">
        <v>20</v>
      </c>
    </row>
    <row r="233" spans="2:13" x14ac:dyDescent="0.3">
      <c r="B233" s="131">
        <v>44134</v>
      </c>
      <c r="C233" s="132" t="s">
        <v>1568</v>
      </c>
      <c r="D233" s="16" t="s">
        <v>36</v>
      </c>
      <c r="E233" s="85" t="s">
        <v>434</v>
      </c>
      <c r="F233" s="85" t="s">
        <v>1564</v>
      </c>
      <c r="G233" s="87" t="s">
        <v>301</v>
      </c>
      <c r="H233" s="180" t="s">
        <v>37</v>
      </c>
      <c r="I233" s="131" t="s">
        <v>97</v>
      </c>
      <c r="J233" s="333" t="s">
        <v>1597</v>
      </c>
      <c r="K233" s="15" t="s">
        <v>33</v>
      </c>
      <c r="L233" s="147">
        <v>505561</v>
      </c>
      <c r="M233" s="15" t="s">
        <v>20</v>
      </c>
    </row>
    <row r="234" spans="2:13" x14ac:dyDescent="0.3">
      <c r="B234" s="131">
        <v>44123</v>
      </c>
      <c r="C234" s="133" t="s">
        <v>490</v>
      </c>
      <c r="D234" s="15" t="s">
        <v>36</v>
      </c>
      <c r="E234" s="85" t="s">
        <v>131</v>
      </c>
      <c r="F234" s="16" t="s">
        <v>132</v>
      </c>
      <c r="G234" s="87" t="s">
        <v>116</v>
      </c>
      <c r="H234" s="180" t="s">
        <v>37</v>
      </c>
      <c r="I234" s="131" t="s">
        <v>97</v>
      </c>
      <c r="J234" s="331" t="s">
        <v>1400</v>
      </c>
      <c r="K234" s="335" t="s">
        <v>39</v>
      </c>
      <c r="L234" s="147">
        <v>13994575</v>
      </c>
      <c r="M234" s="15" t="s">
        <v>19</v>
      </c>
    </row>
    <row r="235" spans="2:13" x14ac:dyDescent="0.3">
      <c r="B235" s="131">
        <v>44123</v>
      </c>
      <c r="C235" s="133" t="s">
        <v>455</v>
      </c>
      <c r="D235" s="15" t="s">
        <v>36</v>
      </c>
      <c r="E235" s="85" t="s">
        <v>131</v>
      </c>
      <c r="F235" s="85" t="s">
        <v>132</v>
      </c>
      <c r="G235" s="87" t="s">
        <v>116</v>
      </c>
      <c r="H235" s="180" t="s">
        <v>37</v>
      </c>
      <c r="I235" s="131" t="s">
        <v>97</v>
      </c>
      <c r="J235" s="331" t="s">
        <v>1400</v>
      </c>
      <c r="K235" s="15" t="s">
        <v>39</v>
      </c>
      <c r="L235" s="147">
        <v>13994575</v>
      </c>
      <c r="M235" s="15" t="s">
        <v>20</v>
      </c>
    </row>
    <row r="236" spans="2:13" x14ac:dyDescent="0.3">
      <c r="B236" s="131">
        <v>44123</v>
      </c>
      <c r="C236" s="153" t="s">
        <v>1401</v>
      </c>
      <c r="D236" s="15" t="s">
        <v>36</v>
      </c>
      <c r="E236" s="86" t="s">
        <v>131</v>
      </c>
      <c r="F236" s="85" t="s">
        <v>132</v>
      </c>
      <c r="G236" s="87" t="s">
        <v>116</v>
      </c>
      <c r="H236" s="87" t="s">
        <v>37</v>
      </c>
      <c r="I236" s="131" t="s">
        <v>97</v>
      </c>
      <c r="J236" s="331" t="s">
        <v>1400</v>
      </c>
      <c r="K236" s="335" t="s">
        <v>39</v>
      </c>
      <c r="L236" s="147">
        <v>13994575</v>
      </c>
      <c r="M236" s="15" t="s">
        <v>20</v>
      </c>
    </row>
    <row r="237" spans="2:13" x14ac:dyDescent="0.3">
      <c r="B237" s="131">
        <v>44123</v>
      </c>
      <c r="C237" s="132" t="s">
        <v>1402</v>
      </c>
      <c r="D237" s="16" t="s">
        <v>36</v>
      </c>
      <c r="E237" s="85" t="s">
        <v>131</v>
      </c>
      <c r="F237" s="85" t="s">
        <v>132</v>
      </c>
      <c r="G237" s="87" t="s">
        <v>116</v>
      </c>
      <c r="H237" s="180" t="s">
        <v>37</v>
      </c>
      <c r="I237" s="131" t="s">
        <v>97</v>
      </c>
      <c r="J237" s="333" t="s">
        <v>1400</v>
      </c>
      <c r="K237" s="15" t="s">
        <v>39</v>
      </c>
      <c r="L237" s="147">
        <v>13994575</v>
      </c>
      <c r="M237" s="15" t="s">
        <v>20</v>
      </c>
    </row>
    <row r="238" spans="2:13" x14ac:dyDescent="0.3">
      <c r="B238" s="131">
        <v>44106</v>
      </c>
      <c r="C238" s="132" t="s">
        <v>1452</v>
      </c>
      <c r="D238" s="16" t="s">
        <v>36</v>
      </c>
      <c r="E238" s="85" t="s">
        <v>436</v>
      </c>
      <c r="F238" s="85" t="s">
        <v>906</v>
      </c>
      <c r="G238" s="87" t="s">
        <v>301</v>
      </c>
      <c r="H238" s="180" t="s">
        <v>37</v>
      </c>
      <c r="I238" s="131" t="s">
        <v>97</v>
      </c>
      <c r="J238" s="333" t="s">
        <v>1201</v>
      </c>
      <c r="K238" s="15" t="s">
        <v>33</v>
      </c>
      <c r="L238" s="147">
        <v>7346186</v>
      </c>
      <c r="M238" s="15" t="s">
        <v>20</v>
      </c>
    </row>
    <row r="239" spans="2:13" x14ac:dyDescent="0.3">
      <c r="B239" s="131">
        <v>44106</v>
      </c>
      <c r="C239" s="132" t="s">
        <v>1453</v>
      </c>
      <c r="D239" s="16" t="s">
        <v>36</v>
      </c>
      <c r="E239" s="85" t="s">
        <v>436</v>
      </c>
      <c r="F239" s="85" t="s">
        <v>906</v>
      </c>
      <c r="G239" s="87" t="s">
        <v>301</v>
      </c>
      <c r="H239" s="180" t="s">
        <v>37</v>
      </c>
      <c r="I239" s="131" t="s">
        <v>97</v>
      </c>
      <c r="J239" s="333" t="s">
        <v>1201</v>
      </c>
      <c r="K239" s="15" t="s">
        <v>33</v>
      </c>
      <c r="L239" s="147">
        <v>7346186</v>
      </c>
      <c r="M239" s="15" t="s">
        <v>20</v>
      </c>
    </row>
    <row r="240" spans="2:13" x14ac:dyDescent="0.3">
      <c r="B240" s="131">
        <v>44106</v>
      </c>
      <c r="C240" s="132" t="s">
        <v>1454</v>
      </c>
      <c r="D240" s="16" t="s">
        <v>36</v>
      </c>
      <c r="E240" s="85" t="s">
        <v>436</v>
      </c>
      <c r="F240" s="85" t="s">
        <v>906</v>
      </c>
      <c r="G240" s="87" t="s">
        <v>301</v>
      </c>
      <c r="H240" s="180" t="s">
        <v>37</v>
      </c>
      <c r="I240" s="131" t="s">
        <v>97</v>
      </c>
      <c r="J240" s="333" t="s">
        <v>1201</v>
      </c>
      <c r="K240" s="15" t="s">
        <v>33</v>
      </c>
      <c r="L240" s="147">
        <v>7346186</v>
      </c>
      <c r="M240" s="15" t="s">
        <v>20</v>
      </c>
    </row>
    <row r="241" spans="2:13" x14ac:dyDescent="0.3">
      <c r="B241" s="131">
        <v>44106</v>
      </c>
      <c r="C241" s="132" t="s">
        <v>1455</v>
      </c>
      <c r="D241" s="16" t="s">
        <v>36</v>
      </c>
      <c r="E241" s="85" t="s">
        <v>436</v>
      </c>
      <c r="F241" s="85" t="s">
        <v>906</v>
      </c>
      <c r="G241" s="87" t="s">
        <v>301</v>
      </c>
      <c r="H241" s="180" t="s">
        <v>37</v>
      </c>
      <c r="I241" s="131" t="s">
        <v>97</v>
      </c>
      <c r="J241" s="333" t="s">
        <v>1201</v>
      </c>
      <c r="K241" s="15" t="s">
        <v>33</v>
      </c>
      <c r="L241" s="147">
        <v>7526240</v>
      </c>
      <c r="M241" s="15" t="s">
        <v>20</v>
      </c>
    </row>
    <row r="242" spans="2:13" x14ac:dyDescent="0.3">
      <c r="B242" s="131">
        <v>44135</v>
      </c>
      <c r="C242" s="132" t="s">
        <v>1569</v>
      </c>
      <c r="D242" s="16" t="s">
        <v>36</v>
      </c>
      <c r="E242" s="85" t="s">
        <v>412</v>
      </c>
      <c r="F242" s="85" t="s">
        <v>1570</v>
      </c>
      <c r="G242" s="87" t="s">
        <v>301</v>
      </c>
      <c r="H242" s="180" t="s">
        <v>781</v>
      </c>
      <c r="I242" s="131" t="s">
        <v>97</v>
      </c>
      <c r="J242" s="333" t="s">
        <v>1598</v>
      </c>
      <c r="K242" s="15" t="s">
        <v>33</v>
      </c>
      <c r="L242" s="147">
        <v>1351437</v>
      </c>
      <c r="M242" s="15" t="s">
        <v>19</v>
      </c>
    </row>
    <row r="243" spans="2:13" x14ac:dyDescent="0.3">
      <c r="B243" s="131">
        <v>44135</v>
      </c>
      <c r="C243" s="132" t="s">
        <v>276</v>
      </c>
      <c r="D243" s="16" t="s">
        <v>36</v>
      </c>
      <c r="E243" s="85" t="s">
        <v>412</v>
      </c>
      <c r="F243" s="85" t="s">
        <v>1570</v>
      </c>
      <c r="G243" s="87" t="s">
        <v>301</v>
      </c>
      <c r="H243" s="180" t="s">
        <v>781</v>
      </c>
      <c r="I243" s="131" t="s">
        <v>97</v>
      </c>
      <c r="J243" s="333" t="s">
        <v>1598</v>
      </c>
      <c r="K243" s="15" t="s">
        <v>33</v>
      </c>
      <c r="L243" s="147">
        <v>1351437</v>
      </c>
      <c r="M243" s="15" t="s">
        <v>20</v>
      </c>
    </row>
    <row r="244" spans="2:13" x14ac:dyDescent="0.3">
      <c r="B244" s="131">
        <v>44120</v>
      </c>
      <c r="C244" s="132" t="s">
        <v>1485</v>
      </c>
      <c r="D244" s="16" t="s">
        <v>36</v>
      </c>
      <c r="E244" s="85" t="s">
        <v>986</v>
      </c>
      <c r="F244" s="85" t="s">
        <v>1002</v>
      </c>
      <c r="G244" s="87" t="s">
        <v>304</v>
      </c>
      <c r="H244" s="180" t="s">
        <v>1484</v>
      </c>
      <c r="I244" s="131" t="s">
        <v>97</v>
      </c>
      <c r="J244" s="333">
        <v>44124</v>
      </c>
      <c r="K244" s="15" t="s">
        <v>39</v>
      </c>
      <c r="L244" s="147">
        <v>6129959</v>
      </c>
      <c r="M244" s="15" t="s">
        <v>20</v>
      </c>
    </row>
    <row r="245" spans="2:13" x14ac:dyDescent="0.3">
      <c r="B245" s="131">
        <v>44111</v>
      </c>
      <c r="C245" s="132" t="s">
        <v>1466</v>
      </c>
      <c r="D245" s="16" t="s">
        <v>36</v>
      </c>
      <c r="E245" s="16" t="s">
        <v>1020</v>
      </c>
      <c r="F245" s="85" t="s">
        <v>1467</v>
      </c>
      <c r="G245" s="87" t="s">
        <v>301</v>
      </c>
      <c r="H245" s="180" t="s">
        <v>37</v>
      </c>
      <c r="I245" s="131" t="s">
        <v>97</v>
      </c>
      <c r="J245" s="333" t="s">
        <v>1577</v>
      </c>
      <c r="K245" s="15" t="s">
        <v>33</v>
      </c>
      <c r="L245" s="147">
        <v>7230191</v>
      </c>
      <c r="M245" s="15" t="s">
        <v>20</v>
      </c>
    </row>
    <row r="246" spans="2:13" x14ac:dyDescent="0.3">
      <c r="B246" s="131">
        <v>44111</v>
      </c>
      <c r="C246" s="132" t="s">
        <v>1468</v>
      </c>
      <c r="D246" s="16" t="s">
        <v>36</v>
      </c>
      <c r="E246" s="16" t="s">
        <v>1020</v>
      </c>
      <c r="F246" s="85" t="s">
        <v>1467</v>
      </c>
      <c r="G246" s="87" t="s">
        <v>301</v>
      </c>
      <c r="H246" s="180" t="s">
        <v>37</v>
      </c>
      <c r="I246" s="131" t="s">
        <v>97</v>
      </c>
      <c r="J246" s="333" t="s">
        <v>1577</v>
      </c>
      <c r="K246" s="15" t="s">
        <v>33</v>
      </c>
      <c r="L246" s="147">
        <v>7411854</v>
      </c>
      <c r="M246" s="15" t="s">
        <v>20</v>
      </c>
    </row>
    <row r="247" spans="2:13" x14ac:dyDescent="0.3">
      <c r="B247" s="131">
        <v>44115</v>
      </c>
      <c r="C247" s="132" t="s">
        <v>1468</v>
      </c>
      <c r="D247" s="16" t="s">
        <v>36</v>
      </c>
      <c r="E247" s="16" t="s">
        <v>1020</v>
      </c>
      <c r="F247" s="85" t="s">
        <v>1467</v>
      </c>
      <c r="G247" s="87" t="s">
        <v>304</v>
      </c>
      <c r="H247" s="180" t="s">
        <v>32</v>
      </c>
      <c r="I247" s="131" t="s">
        <v>97</v>
      </c>
      <c r="J247" s="333">
        <v>44115</v>
      </c>
      <c r="K247" s="15" t="s">
        <v>39</v>
      </c>
      <c r="L247" s="147">
        <v>10111586</v>
      </c>
      <c r="M247" s="15" t="s">
        <v>19</v>
      </c>
    </row>
    <row r="248" spans="2:13" x14ac:dyDescent="0.3">
      <c r="B248" s="131">
        <v>44115</v>
      </c>
      <c r="C248" s="132" t="s">
        <v>1466</v>
      </c>
      <c r="D248" s="16" t="s">
        <v>36</v>
      </c>
      <c r="E248" s="16" t="s">
        <v>1020</v>
      </c>
      <c r="F248" s="85" t="s">
        <v>1467</v>
      </c>
      <c r="G248" s="87" t="s">
        <v>304</v>
      </c>
      <c r="H248" s="180" t="s">
        <v>32</v>
      </c>
      <c r="I248" s="131" t="s">
        <v>97</v>
      </c>
      <c r="J248" s="333">
        <v>44115</v>
      </c>
      <c r="K248" s="15" t="s">
        <v>39</v>
      </c>
      <c r="L248" s="147">
        <v>10111586</v>
      </c>
      <c r="M248" s="15" t="s">
        <v>19</v>
      </c>
    </row>
    <row r="249" spans="2:13" x14ac:dyDescent="0.3">
      <c r="B249" s="131">
        <v>44127</v>
      </c>
      <c r="C249" s="132" t="s">
        <v>1534</v>
      </c>
      <c r="D249" s="16" t="s">
        <v>36</v>
      </c>
      <c r="E249" s="85" t="s">
        <v>1495</v>
      </c>
      <c r="F249" s="85" t="s">
        <v>1203</v>
      </c>
      <c r="G249" s="87" t="s">
        <v>301</v>
      </c>
      <c r="H249" s="180" t="s">
        <v>1535</v>
      </c>
      <c r="I249" s="131" t="s">
        <v>97</v>
      </c>
      <c r="J249" s="333">
        <v>44129</v>
      </c>
      <c r="K249" s="15" t="s">
        <v>33</v>
      </c>
      <c r="L249" s="147">
        <v>644143</v>
      </c>
      <c r="M249" s="15" t="s">
        <v>20</v>
      </c>
    </row>
    <row r="250" spans="2:13" x14ac:dyDescent="0.3">
      <c r="B250" s="131">
        <v>44125</v>
      </c>
      <c r="C250" s="132" t="s">
        <v>168</v>
      </c>
      <c r="D250" s="16" t="s">
        <v>31</v>
      </c>
      <c r="E250" s="85" t="s">
        <v>165</v>
      </c>
      <c r="F250" s="85" t="s">
        <v>1294</v>
      </c>
      <c r="G250" s="87" t="s">
        <v>1284</v>
      </c>
      <c r="H250" s="180" t="s">
        <v>37</v>
      </c>
      <c r="I250" s="131" t="s">
        <v>97</v>
      </c>
      <c r="J250" s="333">
        <v>44135</v>
      </c>
      <c r="K250" s="15" t="s">
        <v>39</v>
      </c>
      <c r="L250" s="147">
        <v>4015893</v>
      </c>
      <c r="M250" s="15" t="s">
        <v>19</v>
      </c>
    </row>
    <row r="251" spans="2:13" x14ac:dyDescent="0.3">
      <c r="B251" s="131">
        <v>44125</v>
      </c>
      <c r="C251" s="132" t="s">
        <v>1403</v>
      </c>
      <c r="D251" s="16" t="s">
        <v>31</v>
      </c>
      <c r="E251" s="85" t="s">
        <v>165</v>
      </c>
      <c r="F251" s="85" t="s">
        <v>1294</v>
      </c>
      <c r="G251" s="87" t="s">
        <v>1284</v>
      </c>
      <c r="H251" s="180" t="s">
        <v>37</v>
      </c>
      <c r="I251" s="131" t="s">
        <v>97</v>
      </c>
      <c r="J251" s="333" t="s">
        <v>1404</v>
      </c>
      <c r="K251" s="15" t="s">
        <v>33</v>
      </c>
      <c r="L251" s="147">
        <v>6891108</v>
      </c>
      <c r="M251" s="15" t="s">
        <v>19</v>
      </c>
    </row>
    <row r="252" spans="2:13" x14ac:dyDescent="0.3">
      <c r="B252" s="131">
        <v>44125</v>
      </c>
      <c r="C252" s="132" t="s">
        <v>1405</v>
      </c>
      <c r="D252" s="16" t="s">
        <v>31</v>
      </c>
      <c r="E252" s="85" t="s">
        <v>165</v>
      </c>
      <c r="F252" s="85" t="s">
        <v>1294</v>
      </c>
      <c r="G252" s="87" t="s">
        <v>1284</v>
      </c>
      <c r="H252" s="180" t="s">
        <v>37</v>
      </c>
      <c r="I252" s="131" t="s">
        <v>97</v>
      </c>
      <c r="J252" s="333" t="s">
        <v>1406</v>
      </c>
      <c r="K252" s="15" t="s">
        <v>33</v>
      </c>
      <c r="L252" s="147">
        <v>7255717</v>
      </c>
      <c r="M252" s="15" t="s">
        <v>19</v>
      </c>
    </row>
    <row r="253" spans="2:13" x14ac:dyDescent="0.3">
      <c r="B253" s="131">
        <v>44125</v>
      </c>
      <c r="C253" s="132" t="s">
        <v>1407</v>
      </c>
      <c r="D253" s="16" t="s">
        <v>31</v>
      </c>
      <c r="E253" s="85" t="s">
        <v>165</v>
      </c>
      <c r="F253" s="85" t="s">
        <v>1294</v>
      </c>
      <c r="G253" s="87" t="s">
        <v>1284</v>
      </c>
      <c r="H253" s="180" t="s">
        <v>37</v>
      </c>
      <c r="I253" s="131" t="s">
        <v>97</v>
      </c>
      <c r="J253" s="333" t="s">
        <v>1406</v>
      </c>
      <c r="K253" s="15" t="s">
        <v>33</v>
      </c>
      <c r="L253" s="147">
        <v>7255717</v>
      </c>
      <c r="M253" s="15" t="s">
        <v>20</v>
      </c>
    </row>
    <row r="254" spans="2:13" x14ac:dyDescent="0.3">
      <c r="B254" s="131">
        <v>44125</v>
      </c>
      <c r="C254" s="132" t="s">
        <v>1408</v>
      </c>
      <c r="D254" s="16" t="s">
        <v>31</v>
      </c>
      <c r="E254" s="85" t="s">
        <v>165</v>
      </c>
      <c r="F254" s="85" t="s">
        <v>1294</v>
      </c>
      <c r="G254" s="87" t="s">
        <v>1284</v>
      </c>
      <c r="H254" s="180" t="s">
        <v>37</v>
      </c>
      <c r="I254" s="131" t="s">
        <v>97</v>
      </c>
      <c r="J254" s="333" t="s">
        <v>1406</v>
      </c>
      <c r="K254" s="15" t="s">
        <v>33</v>
      </c>
      <c r="L254" s="147">
        <v>5906664</v>
      </c>
      <c r="M254" s="15" t="s">
        <v>19</v>
      </c>
    </row>
    <row r="255" spans="2:13" x14ac:dyDescent="0.3">
      <c r="B255" s="131">
        <v>44125</v>
      </c>
      <c r="C255" s="132" t="s">
        <v>172</v>
      </c>
      <c r="D255" s="16" t="s">
        <v>31</v>
      </c>
      <c r="E255" s="85" t="s">
        <v>165</v>
      </c>
      <c r="F255" s="85" t="s">
        <v>1294</v>
      </c>
      <c r="G255" s="87" t="s">
        <v>1284</v>
      </c>
      <c r="H255" s="180" t="s">
        <v>38</v>
      </c>
      <c r="I255" s="131" t="s">
        <v>97</v>
      </c>
      <c r="J255" s="333" t="s">
        <v>1406</v>
      </c>
      <c r="K255" s="15" t="s">
        <v>33</v>
      </c>
      <c r="L255" s="147">
        <v>5906664</v>
      </c>
      <c r="M255" s="15" t="s">
        <v>19</v>
      </c>
    </row>
    <row r="256" spans="2:13" x14ac:dyDescent="0.3">
      <c r="B256" s="131">
        <v>44125</v>
      </c>
      <c r="C256" s="132" t="s">
        <v>1409</v>
      </c>
      <c r="D256" s="16" t="s">
        <v>31</v>
      </c>
      <c r="E256" s="85" t="s">
        <v>165</v>
      </c>
      <c r="F256" s="85" t="s">
        <v>1294</v>
      </c>
      <c r="G256" s="87" t="s">
        <v>1284</v>
      </c>
      <c r="H256" s="180" t="s">
        <v>37</v>
      </c>
      <c r="I256" s="131" t="s">
        <v>97</v>
      </c>
      <c r="J256" s="333">
        <v>44129</v>
      </c>
      <c r="K256" s="15" t="s">
        <v>33</v>
      </c>
      <c r="L256" s="147">
        <v>4399614</v>
      </c>
      <c r="M256" s="15" t="s">
        <v>19</v>
      </c>
    </row>
    <row r="257" spans="2:13" x14ac:dyDescent="0.3">
      <c r="B257" s="131">
        <v>44125</v>
      </c>
      <c r="C257" s="132" t="s">
        <v>1410</v>
      </c>
      <c r="D257" s="16" t="s">
        <v>31</v>
      </c>
      <c r="E257" s="85" t="s">
        <v>165</v>
      </c>
      <c r="F257" s="85" t="s">
        <v>1294</v>
      </c>
      <c r="G257" s="87" t="s">
        <v>1284</v>
      </c>
      <c r="H257" s="180" t="s">
        <v>37</v>
      </c>
      <c r="I257" s="131" t="s">
        <v>97</v>
      </c>
      <c r="J257" s="333" t="s">
        <v>1411</v>
      </c>
      <c r="K257" s="15" t="s">
        <v>33</v>
      </c>
      <c r="L257" s="147">
        <v>6891108</v>
      </c>
      <c r="M257" s="15" t="s">
        <v>19</v>
      </c>
    </row>
    <row r="258" spans="2:13" x14ac:dyDescent="0.3">
      <c r="B258" s="131">
        <v>44125</v>
      </c>
      <c r="C258" s="132" t="s">
        <v>1412</v>
      </c>
      <c r="D258" s="16" t="s">
        <v>31</v>
      </c>
      <c r="E258" s="85" t="s">
        <v>165</v>
      </c>
      <c r="F258" s="85" t="s">
        <v>1294</v>
      </c>
      <c r="G258" s="87" t="s">
        <v>1284</v>
      </c>
      <c r="H258" s="180" t="s">
        <v>37</v>
      </c>
      <c r="I258" s="131" t="s">
        <v>97</v>
      </c>
      <c r="J258" s="333" t="s">
        <v>1411</v>
      </c>
      <c r="K258" s="15" t="s">
        <v>33</v>
      </c>
      <c r="L258" s="147">
        <v>6891108</v>
      </c>
      <c r="M258" s="15" t="s">
        <v>19</v>
      </c>
    </row>
    <row r="259" spans="2:13" x14ac:dyDescent="0.3">
      <c r="B259" s="131">
        <v>44125</v>
      </c>
      <c r="C259" s="132" t="s">
        <v>1413</v>
      </c>
      <c r="D259" s="16" t="s">
        <v>31</v>
      </c>
      <c r="E259" s="85" t="s">
        <v>165</v>
      </c>
      <c r="F259" s="85" t="s">
        <v>1294</v>
      </c>
      <c r="G259" s="87" t="s">
        <v>1284</v>
      </c>
      <c r="H259" s="180" t="s">
        <v>37</v>
      </c>
      <c r="I259" s="131" t="s">
        <v>97</v>
      </c>
      <c r="J259" s="333" t="s">
        <v>1414</v>
      </c>
      <c r="K259" s="15" t="s">
        <v>33</v>
      </c>
      <c r="L259" s="147">
        <v>6708804</v>
      </c>
      <c r="M259" s="15" t="s">
        <v>19</v>
      </c>
    </row>
    <row r="260" spans="2:13" x14ac:dyDescent="0.3">
      <c r="B260" s="131">
        <v>44125</v>
      </c>
      <c r="C260" s="132" t="s">
        <v>562</v>
      </c>
      <c r="D260" s="16" t="s">
        <v>31</v>
      </c>
      <c r="E260" s="85" t="s">
        <v>165</v>
      </c>
      <c r="F260" s="85" t="s">
        <v>1294</v>
      </c>
      <c r="G260" s="87" t="s">
        <v>1284</v>
      </c>
      <c r="H260" s="180" t="s">
        <v>37</v>
      </c>
      <c r="I260" s="131" t="s">
        <v>97</v>
      </c>
      <c r="J260" s="333" t="s">
        <v>1414</v>
      </c>
      <c r="K260" s="15" t="s">
        <v>33</v>
      </c>
      <c r="L260" s="147">
        <v>6708804</v>
      </c>
      <c r="M260" s="15" t="s">
        <v>19</v>
      </c>
    </row>
    <row r="261" spans="2:13" x14ac:dyDescent="0.3">
      <c r="B261" s="131">
        <v>44111</v>
      </c>
      <c r="C261" s="132" t="s">
        <v>1470</v>
      </c>
      <c r="D261" s="16" t="s">
        <v>31</v>
      </c>
      <c r="E261" s="85" t="s">
        <v>365</v>
      </c>
      <c r="F261" s="85" t="s">
        <v>980</v>
      </c>
      <c r="G261" s="87" t="s">
        <v>301</v>
      </c>
      <c r="H261" s="180" t="s">
        <v>32</v>
      </c>
      <c r="I261" s="131" t="s">
        <v>97</v>
      </c>
      <c r="J261" s="333">
        <v>44113</v>
      </c>
      <c r="K261" s="15" t="s">
        <v>33</v>
      </c>
      <c r="L261" s="147">
        <v>4051579</v>
      </c>
      <c r="M261" s="15" t="s">
        <v>19</v>
      </c>
    </row>
    <row r="262" spans="2:13" x14ac:dyDescent="0.3">
      <c r="B262" s="131">
        <v>44116</v>
      </c>
      <c r="C262" s="132" t="s">
        <v>1473</v>
      </c>
      <c r="D262" s="16" t="s">
        <v>31</v>
      </c>
      <c r="E262" s="85" t="s">
        <v>365</v>
      </c>
      <c r="F262" s="85" t="s">
        <v>1474</v>
      </c>
      <c r="G262" s="87" t="s">
        <v>304</v>
      </c>
      <c r="H262" s="180" t="s">
        <v>38</v>
      </c>
      <c r="I262" s="131" t="s">
        <v>97</v>
      </c>
      <c r="J262" s="333">
        <v>44118</v>
      </c>
      <c r="K262" s="15" t="s">
        <v>33</v>
      </c>
      <c r="L262" s="147">
        <v>4384136</v>
      </c>
      <c r="M262" s="15" t="s">
        <v>19</v>
      </c>
    </row>
    <row r="263" spans="2:13" x14ac:dyDescent="0.3">
      <c r="B263" s="131">
        <v>44116</v>
      </c>
      <c r="C263" s="132" t="s">
        <v>1477</v>
      </c>
      <c r="D263" s="16" t="s">
        <v>31</v>
      </c>
      <c r="E263" s="85" t="s">
        <v>365</v>
      </c>
      <c r="F263" s="85" t="s">
        <v>1474</v>
      </c>
      <c r="G263" s="87" t="s">
        <v>304</v>
      </c>
      <c r="H263" s="180" t="s">
        <v>38</v>
      </c>
      <c r="I263" s="131" t="s">
        <v>97</v>
      </c>
      <c r="J263" s="333">
        <v>44118</v>
      </c>
      <c r="K263" s="15" t="s">
        <v>33</v>
      </c>
      <c r="L263" s="147">
        <v>4384136</v>
      </c>
      <c r="M263" s="15" t="s">
        <v>19</v>
      </c>
    </row>
    <row r="264" spans="2:13" x14ac:dyDescent="0.3">
      <c r="B264" s="131">
        <v>44124</v>
      </c>
      <c r="C264" s="132" t="s">
        <v>1487</v>
      </c>
      <c r="D264" s="16" t="s">
        <v>31</v>
      </c>
      <c r="E264" s="85" t="s">
        <v>365</v>
      </c>
      <c r="F264" s="85" t="s">
        <v>1488</v>
      </c>
      <c r="G264" s="87" t="s">
        <v>301</v>
      </c>
      <c r="H264" s="180" t="s">
        <v>32</v>
      </c>
      <c r="I264" s="131" t="s">
        <v>97</v>
      </c>
      <c r="J264" s="333">
        <v>44126</v>
      </c>
      <c r="K264" s="15" t="s">
        <v>33</v>
      </c>
      <c r="L264" s="147">
        <v>4743615</v>
      </c>
      <c r="M264" s="15" t="s">
        <v>19</v>
      </c>
    </row>
    <row r="265" spans="2:13" x14ac:dyDescent="0.3">
      <c r="B265" s="131">
        <v>44128</v>
      </c>
      <c r="C265" s="132" t="s">
        <v>1545</v>
      </c>
      <c r="D265" s="16" t="s">
        <v>31</v>
      </c>
      <c r="E265" s="85" t="s">
        <v>365</v>
      </c>
      <c r="F265" s="85" t="s">
        <v>1488</v>
      </c>
      <c r="G265" s="87" t="s">
        <v>304</v>
      </c>
      <c r="H265" s="180" t="s">
        <v>38</v>
      </c>
      <c r="I265" s="131" t="s">
        <v>97</v>
      </c>
      <c r="J265" s="333">
        <v>44129</v>
      </c>
      <c r="K265" s="15" t="s">
        <v>39</v>
      </c>
      <c r="L265" s="147">
        <v>10761158</v>
      </c>
      <c r="M265" s="15" t="s">
        <v>19</v>
      </c>
    </row>
    <row r="266" spans="2:13" x14ac:dyDescent="0.3">
      <c r="B266" s="131">
        <v>44132</v>
      </c>
      <c r="C266" s="132" t="s">
        <v>371</v>
      </c>
      <c r="D266" s="16" t="s">
        <v>31</v>
      </c>
      <c r="E266" s="85" t="s">
        <v>365</v>
      </c>
      <c r="F266" s="85" t="s">
        <v>1488</v>
      </c>
      <c r="G266" s="87" t="s">
        <v>301</v>
      </c>
      <c r="H266" s="180" t="s">
        <v>32</v>
      </c>
      <c r="I266" s="131" t="s">
        <v>97</v>
      </c>
      <c r="J266" s="333">
        <v>44133</v>
      </c>
      <c r="K266" s="15" t="s">
        <v>33</v>
      </c>
      <c r="L266" s="147">
        <v>4278035</v>
      </c>
      <c r="M266" s="15" t="s">
        <v>20</v>
      </c>
    </row>
    <row r="267" spans="2:13" x14ac:dyDescent="0.3">
      <c r="B267" s="131">
        <v>44131</v>
      </c>
      <c r="C267" s="132" t="s">
        <v>1551</v>
      </c>
      <c r="D267" s="16" t="s">
        <v>36</v>
      </c>
      <c r="E267" s="85" t="s">
        <v>365</v>
      </c>
      <c r="F267" s="85" t="s">
        <v>1552</v>
      </c>
      <c r="G267" s="87" t="s">
        <v>304</v>
      </c>
      <c r="H267" s="180" t="s">
        <v>32</v>
      </c>
      <c r="I267" s="131" t="s">
        <v>97</v>
      </c>
      <c r="J267" s="333">
        <v>44132</v>
      </c>
      <c r="K267" s="15" t="s">
        <v>33</v>
      </c>
      <c r="L267" s="147">
        <v>3881250</v>
      </c>
      <c r="M267" s="15" t="s">
        <v>20</v>
      </c>
    </row>
    <row r="268" spans="2:13" x14ac:dyDescent="0.3">
      <c r="B268" s="131"/>
      <c r="C268" s="132"/>
      <c r="D268" s="16"/>
      <c r="E268" s="85"/>
      <c r="F268" s="85"/>
      <c r="G268" s="87"/>
      <c r="H268" s="180"/>
      <c r="I268" s="131"/>
      <c r="J268" s="333"/>
      <c r="K268" s="15"/>
      <c r="L268" s="336">
        <f>SUM(L2:L267)</f>
        <v>1188838779</v>
      </c>
      <c r="M268" s="15"/>
    </row>
  </sheetData>
  <autoFilter ref="B1:M268">
    <sortState ref="B54:M267">
      <sortCondition ref="I1:I268"/>
    </sortState>
  </autoFilter>
  <dataValidations count="11"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3:D8">
      <formula1>КатегорииРасходов</formula1>
    </dataValidation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/>
    <dataValidation allowBlank="1" showInputMessage="1" showErrorMessage="1" prompt="Гиперссылка для перехода к сводному листу" sqref="D1"/>
    <dataValidation allowBlank="1" showInputMessage="1" showErrorMessage="1" prompt="Гиперссылка для перехода к листу советов" sqref="E1"/>
    <dataValidation allowBlank="1" showInputMessage="1" showErrorMessage="1" prompt="Укажите дату расхода в этом столбце." sqref="A2"/>
    <dataValidation allowBlank="1" showInputMessage="1" showErrorMessage="1" prompt="Введите номер заказа на покупку в этом столбце." sqref="B2"/>
    <dataValidation allowBlank="1" showInputMessage="1" showErrorMessage="1" prompt="Укажите сумму расходов в этом столбце." sqref="C2"/>
    <dataValidation allowBlank="1" showInputMessage="1" showErrorMessage="1" prompt="Список категорий расходов автоматически заполняется на основе данных столбца &quot;Расходы&quot; таблицы &quot;Сводка расходов&quot; в сводном листе. Для перемещения по списку нажмите клавиши ALT+СТРЕЛКА ВНИЗ. Выберите категорию, нажав клавишу ВВОД." sqref="D2"/>
    <dataValidation allowBlank="1" showInputMessage="1" showErrorMessage="1" prompt="Введите описание расхода в этом столбце." sqref="E2:E49"/>
    <dataValidation type="custom" errorStyle="warning" allowBlank="1" showInputMessage="1" showErrorMessage="1" errorTitle="Проверка суммы" error="Сумма должна быть числом." sqref="C3:C8">
      <formula1>ISNUMBER($C3)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октябрь." sqref="A3:A8">
      <formula1>MONTH($A3)=10</formula1>
    </dataValidation>
  </dataValidations>
  <printOptions horizontalCentered="1"/>
  <pageMargins left="0.7" right="0.7" top="0.75" bottom="0.75" header="0.3" footer="0.3"/>
  <pageSetup paperSize="9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79998168889431442"/>
    <pageSetUpPr autoPageBreaks="0" fitToPage="1"/>
  </sheetPr>
  <dimension ref="A1:L55"/>
  <sheetViews>
    <sheetView showGridLines="0" workbookViewId="0">
      <selection sqref="A1:XFD1048576"/>
    </sheetView>
  </sheetViews>
  <sheetFormatPr defaultColWidth="9.109375" defaultRowHeight="13.8" x14ac:dyDescent="0.3"/>
  <cols>
    <col min="1" max="1" width="2.88671875" style="91" bestFit="1" customWidth="1"/>
    <col min="2" max="2" width="9.88671875" style="91" bestFit="1" customWidth="1"/>
    <col min="3" max="3" width="67.44140625" style="91" customWidth="1"/>
    <col min="4" max="4" width="9.109375" style="91" bestFit="1" customWidth="1"/>
    <col min="5" max="5" width="22.5546875" style="91" bestFit="1" customWidth="1"/>
    <col min="6" max="6" width="21.6640625" style="91" bestFit="1" customWidth="1"/>
    <col min="7" max="7" width="23.33203125" style="186" bestFit="1" customWidth="1"/>
    <col min="8" max="8" width="25" style="186" bestFit="1" customWidth="1"/>
    <col min="9" max="9" width="27.109375" style="91" bestFit="1" customWidth="1"/>
    <col min="10" max="10" width="16" style="94" bestFit="1" customWidth="1"/>
    <col min="11" max="11" width="10.6640625" style="91" bestFit="1" customWidth="1"/>
    <col min="12" max="12" width="12.44140625" style="91" bestFit="1" customWidth="1"/>
    <col min="13" max="16384" width="9.109375" style="91"/>
  </cols>
  <sheetData>
    <row r="1" spans="1:12" x14ac:dyDescent="0.3">
      <c r="A1" s="25"/>
      <c r="B1" s="25"/>
      <c r="C1" s="106"/>
      <c r="D1" s="25"/>
      <c r="E1" s="25"/>
      <c r="F1" s="25"/>
      <c r="G1" s="184"/>
      <c r="H1" s="184"/>
      <c r="I1" s="89"/>
      <c r="J1" s="93"/>
      <c r="K1" s="90"/>
      <c r="L1" s="90"/>
    </row>
    <row r="2" spans="1:12" x14ac:dyDescent="0.3">
      <c r="B2" s="88"/>
      <c r="C2" s="108"/>
      <c r="D2" s="27"/>
      <c r="E2" s="57"/>
      <c r="F2" s="57"/>
      <c r="G2" s="111"/>
      <c r="H2" s="111"/>
      <c r="I2" s="58"/>
      <c r="J2" s="99"/>
      <c r="K2" s="101"/>
      <c r="L2" s="17"/>
    </row>
    <row r="3" spans="1:12" x14ac:dyDescent="0.3">
      <c r="B3" s="88"/>
      <c r="C3" s="108"/>
      <c r="D3" s="27"/>
      <c r="E3" s="57"/>
      <c r="F3" s="57"/>
      <c r="G3" s="185"/>
      <c r="H3" s="111"/>
      <c r="I3" s="58"/>
      <c r="J3" s="102"/>
      <c r="K3" s="101"/>
      <c r="L3" s="17"/>
    </row>
    <row r="4" spans="1:12" x14ac:dyDescent="0.3">
      <c r="B4" s="88"/>
      <c r="C4" s="108"/>
      <c r="D4" s="27"/>
      <c r="E4" s="57"/>
      <c r="F4" s="57"/>
      <c r="G4" s="185"/>
      <c r="H4" s="111"/>
      <c r="I4" s="58"/>
      <c r="J4" s="102"/>
      <c r="K4" s="101"/>
      <c r="L4" s="17"/>
    </row>
    <row r="5" spans="1:12" x14ac:dyDescent="0.3">
      <c r="B5" s="88"/>
      <c r="C5" s="108"/>
      <c r="D5" s="27"/>
      <c r="E5" s="57"/>
      <c r="F5" s="57"/>
      <c r="G5" s="185"/>
      <c r="H5" s="111"/>
      <c r="I5" s="58"/>
      <c r="J5" s="99"/>
      <c r="K5" s="101"/>
      <c r="L5" s="17"/>
    </row>
    <row r="6" spans="1:12" x14ac:dyDescent="0.3">
      <c r="B6" s="88"/>
      <c r="C6" s="108"/>
      <c r="D6" s="27"/>
      <c r="E6" s="84"/>
      <c r="F6" s="57"/>
      <c r="G6" s="185"/>
      <c r="H6" s="111"/>
      <c r="I6" s="58"/>
      <c r="J6" s="99"/>
      <c r="K6" s="101"/>
      <c r="L6" s="17"/>
    </row>
    <row r="7" spans="1:12" x14ac:dyDescent="0.3">
      <c r="B7" s="88"/>
      <c r="C7" s="108"/>
      <c r="D7" s="27"/>
      <c r="E7" s="57"/>
      <c r="F7" s="57"/>
      <c r="G7" s="185"/>
      <c r="H7" s="111"/>
      <c r="I7" s="58"/>
      <c r="J7" s="99"/>
      <c r="K7" s="101"/>
      <c r="L7" s="17"/>
    </row>
    <row r="8" spans="1:12" x14ac:dyDescent="0.3">
      <c r="B8" s="88"/>
      <c r="C8" s="108"/>
      <c r="D8" s="27"/>
      <c r="E8" s="57"/>
      <c r="F8" s="57"/>
      <c r="G8" s="185"/>
      <c r="H8" s="111"/>
      <c r="I8" s="58"/>
      <c r="J8" s="102"/>
      <c r="K8" s="101"/>
      <c r="L8" s="17"/>
    </row>
    <row r="9" spans="1:12" x14ac:dyDescent="0.3">
      <c r="B9" s="88"/>
      <c r="C9" s="108"/>
      <c r="D9" s="27"/>
      <c r="E9" s="57"/>
      <c r="F9" s="57"/>
      <c r="G9" s="185"/>
      <c r="H9" s="111"/>
      <c r="I9" s="58"/>
      <c r="J9" s="99"/>
      <c r="K9" s="101"/>
      <c r="L9" s="17"/>
    </row>
    <row r="10" spans="1:12" x14ac:dyDescent="0.3">
      <c r="B10" s="88"/>
      <c r="C10" s="108"/>
      <c r="D10" s="27"/>
      <c r="E10" s="57"/>
      <c r="F10" s="57"/>
      <c r="G10" s="185"/>
      <c r="H10" s="111"/>
      <c r="I10" s="58"/>
      <c r="J10" s="99"/>
      <c r="K10" s="101"/>
      <c r="L10" s="17"/>
    </row>
    <row r="11" spans="1:12" x14ac:dyDescent="0.3">
      <c r="B11" s="88"/>
      <c r="C11" s="108"/>
      <c r="D11" s="27"/>
      <c r="E11" s="57"/>
      <c r="F11" s="57"/>
      <c r="G11" s="185"/>
      <c r="H11" s="111"/>
      <c r="I11" s="58"/>
      <c r="J11" s="99"/>
      <c r="K11" s="101"/>
      <c r="L11" s="17"/>
    </row>
    <row r="12" spans="1:12" x14ac:dyDescent="0.3">
      <c r="B12" s="88"/>
      <c r="C12" s="108"/>
      <c r="D12" s="27"/>
      <c r="E12" s="57"/>
      <c r="F12" s="57"/>
      <c r="G12" s="185"/>
      <c r="H12" s="111"/>
      <c r="I12" s="58"/>
      <c r="J12" s="99"/>
      <c r="K12" s="101"/>
      <c r="L12" s="17"/>
    </row>
    <row r="13" spans="1:12" x14ac:dyDescent="0.3">
      <c r="B13" s="88"/>
      <c r="C13" s="108"/>
      <c r="D13" s="27"/>
      <c r="E13" s="84"/>
      <c r="F13" s="57"/>
      <c r="G13" s="185"/>
      <c r="H13" s="111"/>
      <c r="I13" s="58"/>
      <c r="J13" s="99"/>
      <c r="K13" s="101"/>
      <c r="L13" s="17"/>
    </row>
    <row r="14" spans="1:12" x14ac:dyDescent="0.3">
      <c r="B14" s="88"/>
      <c r="C14" s="108"/>
      <c r="D14" s="27"/>
      <c r="E14" s="57"/>
      <c r="F14" s="17"/>
      <c r="G14" s="185"/>
      <c r="H14" s="111"/>
      <c r="I14" s="58"/>
      <c r="J14" s="102"/>
      <c r="K14" s="101"/>
      <c r="L14" s="17"/>
    </row>
    <row r="15" spans="1:12" x14ac:dyDescent="0.3">
      <c r="B15" s="88"/>
      <c r="C15" s="108"/>
      <c r="D15" s="27"/>
      <c r="E15" s="26"/>
      <c r="F15" s="57"/>
      <c r="G15" s="185"/>
      <c r="H15" s="111"/>
      <c r="I15" s="58"/>
      <c r="J15" s="102"/>
      <c r="K15" s="101"/>
      <c r="L15" s="17"/>
    </row>
    <row r="16" spans="1:12" x14ac:dyDescent="0.3">
      <c r="B16" s="88"/>
      <c r="C16" s="108"/>
      <c r="D16" s="27"/>
      <c r="E16" s="84"/>
      <c r="F16" s="57"/>
      <c r="G16" s="185"/>
      <c r="H16" s="111"/>
      <c r="I16" s="58"/>
      <c r="J16" s="102"/>
      <c r="K16" s="92"/>
      <c r="L16" s="17"/>
    </row>
    <row r="17" spans="2:12" x14ac:dyDescent="0.3">
      <c r="B17" s="88"/>
      <c r="C17" s="108"/>
      <c r="D17" s="27"/>
      <c r="E17" s="57"/>
      <c r="F17" s="57"/>
      <c r="G17" s="185"/>
      <c r="H17" s="111"/>
      <c r="I17" s="58"/>
      <c r="J17" s="102"/>
      <c r="K17" s="101"/>
      <c r="L17" s="17"/>
    </row>
    <row r="18" spans="2:12" x14ac:dyDescent="0.3">
      <c r="B18" s="88"/>
      <c r="C18" s="108"/>
      <c r="D18" s="27"/>
      <c r="E18" s="57"/>
      <c r="F18" s="57"/>
      <c r="G18" s="111"/>
      <c r="H18" s="111"/>
      <c r="I18" s="58"/>
      <c r="J18" s="99"/>
      <c r="K18" s="101"/>
      <c r="L18" s="17"/>
    </row>
    <row r="19" spans="2:12" x14ac:dyDescent="0.3">
      <c r="B19" s="88"/>
      <c r="C19" s="108"/>
      <c r="D19" s="27"/>
      <c r="E19" s="57"/>
      <c r="F19" s="57"/>
      <c r="G19" s="185"/>
      <c r="H19" s="111"/>
      <c r="I19" s="58"/>
      <c r="J19" s="99"/>
      <c r="K19" s="101"/>
      <c r="L19" s="17"/>
    </row>
    <row r="20" spans="2:12" x14ac:dyDescent="0.3">
      <c r="B20" s="88"/>
      <c r="C20" s="108"/>
      <c r="D20" s="27"/>
      <c r="E20" s="84"/>
      <c r="F20" s="57"/>
      <c r="G20" s="185"/>
      <c r="H20" s="111"/>
      <c r="I20" s="58"/>
      <c r="J20" s="99"/>
      <c r="K20" s="100"/>
      <c r="L20" s="17"/>
    </row>
    <row r="21" spans="2:12" x14ac:dyDescent="0.3">
      <c r="B21" s="88"/>
      <c r="C21" s="108"/>
      <c r="D21" s="27"/>
      <c r="E21" s="57"/>
      <c r="F21" s="57"/>
      <c r="G21" s="185"/>
      <c r="H21" s="111"/>
      <c r="I21" s="58"/>
      <c r="J21" s="99"/>
      <c r="K21" s="101"/>
      <c r="L21" s="17"/>
    </row>
    <row r="22" spans="2:12" x14ac:dyDescent="0.3">
      <c r="B22" s="88"/>
      <c r="C22" s="108"/>
      <c r="D22" s="27"/>
      <c r="E22" s="57"/>
      <c r="F22" s="57"/>
      <c r="G22" s="185"/>
      <c r="H22" s="111"/>
      <c r="I22" s="58"/>
      <c r="J22" s="99"/>
      <c r="K22" s="101"/>
      <c r="L22" s="17"/>
    </row>
    <row r="23" spans="2:12" x14ac:dyDescent="0.3">
      <c r="B23" s="88"/>
      <c r="C23" s="108"/>
      <c r="D23" s="19"/>
      <c r="E23" s="57"/>
      <c r="F23" s="57"/>
      <c r="G23" s="185"/>
      <c r="H23" s="111"/>
      <c r="I23" s="58"/>
      <c r="J23" s="103"/>
      <c r="K23" s="101"/>
      <c r="L23" s="17"/>
    </row>
    <row r="24" spans="2:12" x14ac:dyDescent="0.3">
      <c r="B24" s="88"/>
      <c r="C24" s="108"/>
      <c r="D24" s="27"/>
      <c r="E24" s="57"/>
      <c r="F24" s="57"/>
      <c r="G24" s="185"/>
      <c r="H24" s="111"/>
      <c r="I24" s="58"/>
      <c r="J24" s="99"/>
      <c r="K24" s="101"/>
      <c r="L24" s="17"/>
    </row>
    <row r="25" spans="2:12" x14ac:dyDescent="0.3">
      <c r="B25" s="88"/>
      <c r="C25" s="108"/>
      <c r="D25" s="27"/>
      <c r="E25" s="84"/>
      <c r="F25" s="57"/>
      <c r="G25" s="185"/>
      <c r="H25" s="111"/>
      <c r="I25" s="58"/>
      <c r="J25" s="99"/>
      <c r="K25" s="101"/>
      <c r="L25" s="17"/>
    </row>
    <row r="26" spans="2:12" x14ac:dyDescent="0.3">
      <c r="B26" s="88"/>
      <c r="C26" s="108"/>
      <c r="D26" s="27"/>
      <c r="E26" s="26"/>
      <c r="F26" s="57"/>
      <c r="G26" s="185"/>
      <c r="H26" s="111"/>
      <c r="I26" s="58"/>
      <c r="J26" s="102"/>
      <c r="K26" s="101"/>
      <c r="L26" s="17"/>
    </row>
    <row r="27" spans="2:12" x14ac:dyDescent="0.3">
      <c r="B27" s="88"/>
      <c r="C27" s="108"/>
      <c r="D27" s="27"/>
      <c r="E27" s="57"/>
      <c r="F27" s="57"/>
      <c r="G27" s="185"/>
      <c r="H27" s="111"/>
      <c r="I27" s="58"/>
      <c r="J27" s="102"/>
      <c r="K27" s="101"/>
      <c r="L27" s="17"/>
    </row>
    <row r="28" spans="2:12" x14ac:dyDescent="0.3">
      <c r="B28" s="88"/>
      <c r="C28" s="108"/>
      <c r="D28" s="27"/>
      <c r="E28" s="57"/>
      <c r="F28" s="57"/>
      <c r="G28" s="111"/>
      <c r="H28" s="111"/>
      <c r="I28" s="58"/>
      <c r="J28" s="99"/>
      <c r="K28" s="101"/>
      <c r="L28" s="17"/>
    </row>
    <row r="29" spans="2:12" x14ac:dyDescent="0.3">
      <c r="B29" s="88"/>
      <c r="C29" s="108"/>
      <c r="D29" s="27"/>
      <c r="E29" s="57"/>
      <c r="F29" s="57"/>
      <c r="G29" s="185"/>
      <c r="H29" s="111"/>
      <c r="I29" s="58"/>
      <c r="J29" s="99"/>
      <c r="K29" s="101"/>
      <c r="L29" s="17"/>
    </row>
    <row r="30" spans="2:12" x14ac:dyDescent="0.3">
      <c r="B30" s="88"/>
      <c r="C30" s="108"/>
      <c r="D30" s="27"/>
      <c r="E30" s="57"/>
      <c r="F30" s="57"/>
      <c r="G30" s="111"/>
      <c r="H30" s="111"/>
      <c r="I30" s="58"/>
      <c r="J30" s="99"/>
      <c r="K30" s="101"/>
      <c r="L30" s="17"/>
    </row>
    <row r="31" spans="2:12" x14ac:dyDescent="0.3">
      <c r="B31" s="88"/>
      <c r="C31" s="108"/>
      <c r="D31" s="27"/>
      <c r="E31" s="57"/>
      <c r="F31" s="57"/>
      <c r="G31" s="185"/>
      <c r="H31" s="111"/>
      <c r="I31" s="58"/>
      <c r="J31" s="99"/>
      <c r="K31" s="101"/>
      <c r="L31" s="17"/>
    </row>
    <row r="32" spans="2:12" x14ac:dyDescent="0.3">
      <c r="B32" s="88"/>
      <c r="C32" s="108"/>
      <c r="D32" s="27"/>
      <c r="E32" s="57"/>
      <c r="F32" s="57"/>
      <c r="G32" s="185"/>
      <c r="H32" s="111"/>
      <c r="I32" s="58"/>
      <c r="J32" s="99"/>
      <c r="K32" s="101"/>
      <c r="L32" s="17"/>
    </row>
    <row r="33" spans="2:12" x14ac:dyDescent="0.3">
      <c r="B33" s="88"/>
      <c r="C33" s="108"/>
      <c r="D33" s="27"/>
      <c r="E33" s="84"/>
      <c r="F33" s="57"/>
      <c r="G33" s="185"/>
      <c r="H33" s="111"/>
      <c r="I33" s="58"/>
      <c r="J33" s="99"/>
      <c r="K33" s="101"/>
      <c r="L33" s="17"/>
    </row>
    <row r="34" spans="2:12" x14ac:dyDescent="0.3">
      <c r="B34" s="88"/>
      <c r="C34" s="108"/>
      <c r="D34" s="19"/>
      <c r="E34" s="57"/>
      <c r="F34" s="57"/>
      <c r="G34" s="185"/>
      <c r="H34" s="111"/>
      <c r="I34" s="58"/>
      <c r="J34" s="103"/>
      <c r="K34" s="101"/>
      <c r="L34" s="17"/>
    </row>
    <row r="35" spans="2:12" x14ac:dyDescent="0.3">
      <c r="B35" s="88"/>
      <c r="C35" s="108"/>
      <c r="D35" s="27"/>
      <c r="E35" s="57"/>
      <c r="F35" s="57"/>
      <c r="G35" s="185"/>
      <c r="H35" s="111"/>
      <c r="I35" s="58"/>
      <c r="J35" s="99"/>
      <c r="K35" s="101"/>
      <c r="L35" s="17"/>
    </row>
    <row r="36" spans="2:12" x14ac:dyDescent="0.3">
      <c r="B36" s="88"/>
      <c r="C36" s="108"/>
      <c r="D36" s="27"/>
      <c r="E36" s="57"/>
      <c r="F36" s="57"/>
      <c r="G36" s="111"/>
      <c r="H36" s="111"/>
      <c r="I36" s="58"/>
      <c r="J36" s="99"/>
      <c r="K36" s="101"/>
      <c r="L36" s="17"/>
    </row>
    <row r="37" spans="2:12" x14ac:dyDescent="0.3">
      <c r="B37" s="88"/>
      <c r="C37" s="108"/>
      <c r="D37" s="27"/>
      <c r="E37" s="57"/>
      <c r="F37" s="57"/>
      <c r="G37" s="185"/>
      <c r="H37" s="111"/>
      <c r="I37" s="58"/>
      <c r="J37" s="99"/>
      <c r="K37" s="92"/>
      <c r="L37" s="17"/>
    </row>
    <row r="38" spans="2:12" x14ac:dyDescent="0.3">
      <c r="B38" s="88"/>
      <c r="C38" s="108"/>
      <c r="D38" s="27"/>
      <c r="E38" s="84"/>
      <c r="F38" s="57"/>
      <c r="G38" s="185"/>
      <c r="H38" s="111"/>
      <c r="I38" s="58"/>
      <c r="J38" s="99"/>
      <c r="K38" s="101"/>
      <c r="L38" s="17"/>
    </row>
    <row r="39" spans="2:12" x14ac:dyDescent="0.3">
      <c r="B39" s="88"/>
      <c r="C39" s="108"/>
      <c r="D39" s="27"/>
      <c r="E39" s="26"/>
      <c r="F39" s="57"/>
      <c r="G39" s="185"/>
      <c r="H39" s="111"/>
      <c r="I39" s="58"/>
      <c r="J39" s="99"/>
      <c r="K39" s="101"/>
      <c r="L39" s="17"/>
    </row>
    <row r="40" spans="2:12" x14ac:dyDescent="0.3">
      <c r="B40" s="88"/>
      <c r="C40" s="108"/>
      <c r="D40" s="27"/>
      <c r="E40" s="57"/>
      <c r="F40" s="57"/>
      <c r="G40" s="185"/>
      <c r="H40" s="111"/>
      <c r="I40" s="58"/>
      <c r="J40" s="99"/>
      <c r="K40" s="101"/>
      <c r="L40" s="17"/>
    </row>
    <row r="41" spans="2:12" x14ac:dyDescent="0.3">
      <c r="B41" s="88"/>
      <c r="C41" s="107"/>
      <c r="D41" s="27"/>
      <c r="E41" s="84"/>
      <c r="F41" s="57"/>
      <c r="G41" s="185"/>
      <c r="H41" s="111"/>
      <c r="I41" s="58"/>
      <c r="J41" s="99"/>
      <c r="K41" s="100"/>
      <c r="L41" s="17"/>
    </row>
    <row r="42" spans="2:12" x14ac:dyDescent="0.3">
      <c r="B42" s="88"/>
      <c r="C42" s="108"/>
      <c r="D42" s="27"/>
      <c r="E42" s="84"/>
      <c r="F42" s="57"/>
      <c r="G42" s="185"/>
      <c r="H42" s="111"/>
      <c r="I42" s="58"/>
      <c r="J42" s="99"/>
      <c r="K42" s="101"/>
      <c r="L42" s="17"/>
    </row>
    <row r="43" spans="2:12" x14ac:dyDescent="0.3">
      <c r="B43" s="88"/>
      <c r="C43" s="108"/>
      <c r="D43" s="27"/>
      <c r="E43" s="84"/>
      <c r="F43" s="57"/>
      <c r="G43" s="185"/>
      <c r="H43" s="111"/>
      <c r="I43" s="58"/>
      <c r="J43" s="99"/>
      <c r="K43" s="101"/>
      <c r="L43" s="17"/>
    </row>
    <row r="44" spans="2:12" x14ac:dyDescent="0.3">
      <c r="B44" s="88"/>
      <c r="C44" s="108"/>
      <c r="D44" s="27"/>
      <c r="E44" s="57"/>
      <c r="F44" s="57"/>
      <c r="G44" s="185"/>
      <c r="H44" s="111"/>
      <c r="I44" s="58"/>
      <c r="J44" s="99"/>
      <c r="K44" s="92"/>
      <c r="L44" s="17"/>
    </row>
    <row r="45" spans="2:12" x14ac:dyDescent="0.3">
      <c r="B45" s="88"/>
      <c r="C45" s="108"/>
      <c r="D45" s="27"/>
      <c r="E45" s="57"/>
      <c r="F45" s="57"/>
      <c r="G45" s="185"/>
      <c r="H45" s="111"/>
      <c r="I45" s="58"/>
      <c r="J45" s="99"/>
      <c r="K45" s="101"/>
      <c r="L45" s="17"/>
    </row>
    <row r="46" spans="2:12" x14ac:dyDescent="0.3">
      <c r="B46" s="88"/>
      <c r="C46" s="108"/>
      <c r="D46" s="27"/>
      <c r="E46" s="84"/>
      <c r="F46" s="57"/>
      <c r="G46" s="185"/>
      <c r="H46" s="111"/>
      <c r="I46" s="58"/>
      <c r="J46" s="99"/>
      <c r="K46" s="92"/>
      <c r="L46" s="17"/>
    </row>
    <row r="47" spans="2:12" x14ac:dyDescent="0.3">
      <c r="B47" s="88"/>
      <c r="C47" s="108"/>
      <c r="D47" s="27"/>
      <c r="E47" s="84"/>
      <c r="F47" s="57"/>
      <c r="G47" s="185"/>
      <c r="H47" s="111"/>
      <c r="I47" s="58"/>
      <c r="J47" s="99"/>
      <c r="K47" s="101"/>
      <c r="L47" s="17"/>
    </row>
    <row r="48" spans="2:12" x14ac:dyDescent="0.3">
      <c r="B48" s="88"/>
      <c r="C48" s="108"/>
      <c r="D48" s="27"/>
      <c r="E48" s="84"/>
      <c r="F48" s="57"/>
      <c r="G48" s="185"/>
      <c r="H48" s="111"/>
      <c r="I48" s="58"/>
      <c r="J48" s="99"/>
      <c r="K48" s="101"/>
      <c r="L48" s="17"/>
    </row>
    <row r="49" spans="2:12" x14ac:dyDescent="0.3">
      <c r="B49" s="88"/>
      <c r="C49" s="108"/>
      <c r="D49" s="27"/>
      <c r="E49" s="84"/>
      <c r="F49" s="57"/>
      <c r="G49" s="111"/>
      <c r="H49" s="111"/>
      <c r="I49" s="58"/>
      <c r="J49" s="99"/>
      <c r="K49" s="101"/>
      <c r="L49" s="17"/>
    </row>
    <row r="50" spans="2:12" x14ac:dyDescent="0.3">
      <c r="B50" s="88"/>
      <c r="C50" s="108"/>
      <c r="D50" s="27"/>
      <c r="E50" s="57"/>
      <c r="F50" s="57"/>
      <c r="G50" s="185"/>
      <c r="H50" s="111"/>
      <c r="I50" s="58"/>
      <c r="J50" s="99"/>
      <c r="K50" s="101"/>
      <c r="L50" s="17"/>
    </row>
    <row r="51" spans="2:12" x14ac:dyDescent="0.3">
      <c r="B51" s="88"/>
      <c r="C51" s="108"/>
      <c r="D51" s="27"/>
      <c r="E51" s="57"/>
      <c r="F51" s="57"/>
      <c r="G51" s="185"/>
      <c r="H51" s="111"/>
      <c r="I51" s="58"/>
      <c r="J51" s="99"/>
      <c r="K51" s="101"/>
      <c r="L51" s="17"/>
    </row>
    <row r="52" spans="2:12" x14ac:dyDescent="0.3">
      <c r="B52" s="88"/>
      <c r="C52" s="108"/>
      <c r="D52" s="27"/>
      <c r="E52" s="57"/>
      <c r="F52" s="57"/>
      <c r="G52" s="185"/>
      <c r="H52" s="111"/>
      <c r="I52" s="58"/>
      <c r="J52" s="99"/>
      <c r="K52" s="101"/>
      <c r="L52" s="17"/>
    </row>
    <row r="53" spans="2:12" x14ac:dyDescent="0.3">
      <c r="B53" s="88"/>
      <c r="C53" s="108"/>
      <c r="D53" s="27"/>
      <c r="E53" s="57"/>
      <c r="F53" s="57"/>
      <c r="G53" s="185"/>
      <c r="H53" s="111"/>
      <c r="I53" s="58"/>
      <c r="J53" s="99"/>
      <c r="K53" s="101"/>
      <c r="L53" s="17"/>
    </row>
    <row r="54" spans="2:12" x14ac:dyDescent="0.3">
      <c r="B54" s="88"/>
      <c r="C54" s="108"/>
      <c r="D54" s="27"/>
      <c r="E54" s="84"/>
      <c r="F54" s="57"/>
      <c r="G54" s="185"/>
      <c r="H54" s="111"/>
      <c r="I54" s="58"/>
      <c r="J54" s="99"/>
      <c r="K54" s="101"/>
      <c r="L54" s="17"/>
    </row>
    <row r="55" spans="2:12" x14ac:dyDescent="0.3">
      <c r="K55" s="105"/>
    </row>
  </sheetData>
  <dataValidations count="11"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3:D8">
      <formula1>КатегорииРасходов</formula1>
    </dataValidation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/>
    <dataValidation allowBlank="1" showInputMessage="1" showErrorMessage="1" prompt="Гиперссылка для перехода к сводному листу" sqref="D1"/>
    <dataValidation allowBlank="1" showInputMessage="1" showErrorMessage="1" prompt="Гиперссылка для перехода к листу советов" sqref="E1"/>
    <dataValidation allowBlank="1" showInputMessage="1" showErrorMessage="1" prompt="Укажите дату расхода в этом столбце." sqref="A2"/>
    <dataValidation allowBlank="1" showInputMessage="1" showErrorMessage="1" prompt="Введите номер заказа на покупку в этом столбце." sqref="B2"/>
    <dataValidation allowBlank="1" showInputMessage="1" showErrorMessage="1" prompt="Укажите сумму расходов в этом столбце." sqref="C2"/>
    <dataValidation allowBlank="1" showInputMessage="1" showErrorMessage="1" prompt="Список категорий расходов автоматически заполняется на основе данных столбца &quot;Расходы&quot; таблицы &quot;Сводка расходов&quot; в сводном листе. Для перемещения по списку нажмите клавиши ALT+СТРЕЛКА ВНИЗ. Выберите категорию, нажав клавишу ВВОД." sqref="D2"/>
    <dataValidation allowBlank="1" showInputMessage="1" showErrorMessage="1" prompt="Введите описание расхода в этом столбце." sqref="E2"/>
    <dataValidation type="custom" errorStyle="warning" allowBlank="1" showInputMessage="1" showErrorMessage="1" errorTitle="Проверка суммы" error="Сумма должна быть числом." sqref="C3:C8">
      <formula1>ISNUMBER($C3)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ноябрь." sqref="A3:A8">
      <formula1>MONTH($A3)=11</formula1>
    </dataValidation>
  </dataValidations>
  <printOptions horizontalCentered="1"/>
  <pageMargins left="0.7" right="0.7" top="0.75" bottom="0.75" header="0.3" footer="0.3"/>
  <pageSetup paperSize="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  <pageSetUpPr autoPageBreaks="0" fitToPage="1"/>
  </sheetPr>
  <dimension ref="A1:L59"/>
  <sheetViews>
    <sheetView showGridLines="0" topLeftCell="A2" zoomScale="85" zoomScaleNormal="85" workbookViewId="0">
      <selection activeCell="A2" sqref="A1:XFD1048576"/>
    </sheetView>
  </sheetViews>
  <sheetFormatPr defaultColWidth="9.109375" defaultRowHeight="13.8" x14ac:dyDescent="0.3"/>
  <cols>
    <col min="1" max="1" width="2.6640625" style="114" bestFit="1" customWidth="1"/>
    <col min="2" max="2" width="10.109375" style="114" bestFit="1" customWidth="1"/>
    <col min="3" max="3" width="83.109375" style="124" bestFit="1" customWidth="1"/>
    <col min="4" max="4" width="9" style="113" bestFit="1" customWidth="1"/>
    <col min="5" max="5" width="22.5546875" style="113" bestFit="1" customWidth="1"/>
    <col min="6" max="6" width="21.5546875" style="113" bestFit="1" customWidth="1"/>
    <col min="7" max="7" width="15.6640625" style="188" bestFit="1" customWidth="1"/>
    <col min="8" max="8" width="28.33203125" style="188" bestFit="1" customWidth="1"/>
    <col min="9" max="9" width="21.109375" style="113" bestFit="1" customWidth="1"/>
    <col min="10" max="10" width="15" style="127" bestFit="1" customWidth="1"/>
    <col min="11" max="11" width="10.44140625" style="127" bestFit="1" customWidth="1"/>
    <col min="12" max="12" width="21.44140625" style="113" bestFit="1" customWidth="1"/>
    <col min="13" max="16384" width="9.109375" style="114"/>
  </cols>
  <sheetData>
    <row r="1" spans="1:12" s="115" customFormat="1" x14ac:dyDescent="0.3">
      <c r="A1" s="95"/>
      <c r="B1" s="95"/>
      <c r="C1" s="95"/>
      <c r="D1" s="95"/>
      <c r="E1" s="95"/>
      <c r="F1" s="95"/>
      <c r="G1" s="187"/>
      <c r="H1" s="187"/>
      <c r="I1" s="96"/>
      <c r="J1" s="97"/>
      <c r="K1" s="128"/>
      <c r="L1" s="98"/>
    </row>
    <row r="2" spans="1:12" x14ac:dyDescent="0.3">
      <c r="B2" s="116"/>
      <c r="C2" s="110"/>
      <c r="D2" s="18"/>
      <c r="E2" s="63"/>
      <c r="F2" s="62"/>
      <c r="G2" s="111"/>
      <c r="H2" s="112"/>
      <c r="I2" s="18"/>
      <c r="J2" s="125"/>
      <c r="K2" s="125"/>
      <c r="L2" s="18"/>
    </row>
    <row r="3" spans="1:12" x14ac:dyDescent="0.3">
      <c r="B3" s="111"/>
      <c r="C3" s="56"/>
      <c r="D3" s="57"/>
      <c r="E3" s="63"/>
      <c r="F3" s="57"/>
      <c r="G3" s="111"/>
      <c r="H3" s="121"/>
      <c r="I3" s="58"/>
      <c r="J3" s="99"/>
      <c r="K3" s="60"/>
      <c r="L3" s="123"/>
    </row>
    <row r="4" spans="1:12" x14ac:dyDescent="0.3">
      <c r="B4" s="111"/>
      <c r="C4" s="56"/>
      <c r="D4" s="57"/>
      <c r="E4" s="57"/>
      <c r="F4" s="57"/>
      <c r="G4" s="111"/>
      <c r="H4" s="111"/>
      <c r="I4" s="58"/>
      <c r="J4" s="99"/>
      <c r="K4" s="60"/>
      <c r="L4" s="18"/>
    </row>
    <row r="5" spans="1:12" x14ac:dyDescent="0.3">
      <c r="B5" s="111"/>
      <c r="C5" s="56"/>
      <c r="D5" s="57"/>
      <c r="E5" s="63"/>
      <c r="F5" s="57"/>
      <c r="G5" s="111"/>
      <c r="H5" s="111"/>
      <c r="I5" s="58"/>
      <c r="J5" s="99"/>
      <c r="K5" s="60"/>
      <c r="L5" s="18"/>
    </row>
    <row r="6" spans="1:12" x14ac:dyDescent="0.3">
      <c r="B6" s="111"/>
      <c r="C6" s="56"/>
      <c r="D6" s="57"/>
      <c r="E6" s="63"/>
      <c r="F6" s="57"/>
      <c r="G6" s="111"/>
      <c r="H6" s="111"/>
      <c r="I6" s="58"/>
      <c r="J6" s="99"/>
      <c r="K6" s="60"/>
      <c r="L6" s="18"/>
    </row>
    <row r="7" spans="1:12" x14ac:dyDescent="0.3">
      <c r="B7" s="111"/>
      <c r="C7" s="56"/>
      <c r="D7" s="57"/>
      <c r="E7" s="57"/>
      <c r="F7" s="57"/>
      <c r="G7" s="111"/>
      <c r="H7" s="111"/>
      <c r="I7" s="58"/>
      <c r="J7" s="99"/>
      <c r="K7" s="60"/>
      <c r="L7" s="18"/>
    </row>
    <row r="8" spans="1:12" x14ac:dyDescent="0.3">
      <c r="B8" s="116"/>
      <c r="C8" s="56"/>
      <c r="D8" s="18"/>
      <c r="E8" s="189"/>
      <c r="F8" s="62"/>
      <c r="G8" s="111"/>
      <c r="H8" s="112"/>
      <c r="I8" s="112"/>
      <c r="J8" s="125"/>
      <c r="K8" s="60"/>
      <c r="L8" s="18"/>
    </row>
    <row r="9" spans="1:12" x14ac:dyDescent="0.3">
      <c r="B9" s="116"/>
      <c r="C9" s="56"/>
      <c r="D9" s="18"/>
      <c r="E9" s="63"/>
      <c r="F9" s="62"/>
      <c r="G9" s="111"/>
      <c r="H9" s="112"/>
      <c r="I9" s="112"/>
      <c r="J9" s="125"/>
      <c r="K9" s="60"/>
      <c r="L9" s="18"/>
    </row>
    <row r="10" spans="1:12" x14ac:dyDescent="0.3">
      <c r="B10" s="111"/>
      <c r="C10" s="56"/>
      <c r="D10" s="57"/>
      <c r="E10" s="57"/>
      <c r="F10" s="57"/>
      <c r="G10" s="111"/>
      <c r="H10" s="111"/>
      <c r="I10" s="58"/>
      <c r="J10" s="99"/>
      <c r="K10" s="60"/>
      <c r="L10" s="18"/>
    </row>
    <row r="11" spans="1:12" x14ac:dyDescent="0.3">
      <c r="B11" s="111"/>
      <c r="C11" s="56"/>
      <c r="D11" s="57"/>
      <c r="E11" s="57"/>
      <c r="F11" s="57"/>
      <c r="G11" s="111"/>
      <c r="H11" s="111"/>
      <c r="I11" s="58"/>
      <c r="J11" s="99"/>
      <c r="K11" s="60"/>
      <c r="L11" s="18"/>
    </row>
    <row r="12" spans="1:12" x14ac:dyDescent="0.3">
      <c r="B12" s="111"/>
      <c r="C12" s="56"/>
      <c r="D12" s="57"/>
      <c r="E12" s="63"/>
      <c r="F12" s="57"/>
      <c r="G12" s="111"/>
      <c r="H12" s="111"/>
      <c r="I12" s="58"/>
      <c r="J12" s="99"/>
      <c r="K12" s="60"/>
      <c r="L12" s="18"/>
    </row>
    <row r="13" spans="1:12" x14ac:dyDescent="0.3">
      <c r="B13" s="111"/>
      <c r="C13" s="56"/>
      <c r="D13" s="57"/>
      <c r="E13" s="63"/>
      <c r="F13" s="57"/>
      <c r="G13" s="111"/>
      <c r="H13" s="111"/>
      <c r="I13" s="58"/>
      <c r="J13" s="99"/>
      <c r="K13" s="60"/>
      <c r="L13" s="18"/>
    </row>
    <row r="14" spans="1:12" x14ac:dyDescent="0.3">
      <c r="B14" s="111"/>
      <c r="C14" s="56"/>
      <c r="D14" s="57"/>
      <c r="E14" s="57"/>
      <c r="F14" s="57"/>
      <c r="G14" s="111"/>
      <c r="H14" s="111"/>
      <c r="I14" s="58"/>
      <c r="J14" s="99"/>
      <c r="K14" s="60"/>
      <c r="L14" s="18"/>
    </row>
    <row r="15" spans="1:12" x14ac:dyDescent="0.3">
      <c r="B15" s="111"/>
      <c r="C15" s="56"/>
      <c r="D15" s="57"/>
      <c r="E15" s="63"/>
      <c r="F15" s="57"/>
      <c r="G15" s="111"/>
      <c r="H15" s="111"/>
      <c r="I15" s="58"/>
      <c r="J15" s="99"/>
      <c r="K15" s="60"/>
      <c r="L15" s="18"/>
    </row>
    <row r="16" spans="1:12" x14ac:dyDescent="0.3">
      <c r="B16" s="111"/>
      <c r="C16" s="110"/>
      <c r="D16" s="18"/>
      <c r="E16" s="63"/>
      <c r="F16" s="18"/>
      <c r="G16" s="111"/>
      <c r="H16" s="112"/>
      <c r="I16" s="18"/>
      <c r="J16" s="125"/>
      <c r="K16" s="125"/>
      <c r="L16" s="18"/>
    </row>
    <row r="17" spans="2:12" x14ac:dyDescent="0.3">
      <c r="B17" s="111"/>
      <c r="C17" s="110"/>
      <c r="D17" s="18"/>
      <c r="E17" s="63"/>
      <c r="F17" s="18"/>
      <c r="G17" s="111"/>
      <c r="H17" s="112"/>
      <c r="I17" s="18"/>
      <c r="J17" s="125"/>
      <c r="K17" s="125"/>
      <c r="L17" s="18"/>
    </row>
    <row r="18" spans="2:12" x14ac:dyDescent="0.3">
      <c r="B18" s="111"/>
      <c r="C18" s="110"/>
      <c r="D18" s="18"/>
      <c r="E18" s="63"/>
      <c r="F18" s="18"/>
      <c r="G18" s="111"/>
      <c r="H18" s="112"/>
      <c r="I18" s="18"/>
      <c r="J18" s="125"/>
      <c r="K18" s="125"/>
      <c r="L18" s="18"/>
    </row>
    <row r="19" spans="2:12" x14ac:dyDescent="0.3">
      <c r="B19" s="118"/>
      <c r="C19" s="119"/>
      <c r="D19" s="120"/>
      <c r="E19" s="63"/>
      <c r="F19" s="120"/>
      <c r="G19" s="121"/>
      <c r="H19" s="121"/>
      <c r="I19" s="121"/>
      <c r="J19" s="126"/>
      <c r="K19" s="60"/>
      <c r="L19" s="18"/>
    </row>
    <row r="20" spans="2:12" x14ac:dyDescent="0.3">
      <c r="B20" s="118"/>
      <c r="C20" s="119"/>
      <c r="D20" s="120"/>
      <c r="E20" s="63"/>
      <c r="F20" s="120"/>
      <c r="G20" s="121"/>
      <c r="H20" s="121"/>
      <c r="I20" s="121"/>
      <c r="J20" s="126"/>
      <c r="K20" s="60"/>
      <c r="L20" s="18"/>
    </row>
    <row r="21" spans="2:12" x14ac:dyDescent="0.3">
      <c r="B21" s="118"/>
      <c r="C21" s="119"/>
      <c r="D21" s="120"/>
      <c r="E21" s="63"/>
      <c r="F21" s="120"/>
      <c r="G21" s="121"/>
      <c r="H21" s="121"/>
      <c r="I21" s="121"/>
      <c r="J21" s="126"/>
      <c r="K21" s="60"/>
      <c r="L21" s="18"/>
    </row>
    <row r="22" spans="2:12" x14ac:dyDescent="0.3">
      <c r="B22" s="118"/>
      <c r="C22" s="119"/>
      <c r="D22" s="120"/>
      <c r="E22" s="63"/>
      <c r="F22" s="120"/>
      <c r="G22" s="121"/>
      <c r="H22" s="121"/>
      <c r="I22" s="121"/>
      <c r="J22" s="126"/>
      <c r="K22" s="126"/>
      <c r="L22" s="18"/>
    </row>
    <row r="23" spans="2:12" x14ac:dyDescent="0.3">
      <c r="B23" s="116"/>
      <c r="C23" s="110"/>
      <c r="D23" s="18"/>
      <c r="E23" s="63"/>
      <c r="F23" s="62"/>
      <c r="G23" s="111"/>
      <c r="H23" s="112"/>
      <c r="I23" s="112"/>
      <c r="J23" s="125"/>
      <c r="K23" s="125"/>
      <c r="L23" s="18"/>
    </row>
    <row r="24" spans="2:12" x14ac:dyDescent="0.3">
      <c r="B24" s="118"/>
      <c r="C24" s="119"/>
      <c r="D24" s="120"/>
      <c r="E24" s="63"/>
      <c r="F24" s="120"/>
      <c r="G24" s="121"/>
      <c r="H24" s="121"/>
      <c r="I24" s="121"/>
      <c r="J24" s="126"/>
      <c r="K24" s="60"/>
      <c r="L24" s="18"/>
    </row>
    <row r="25" spans="2:12" x14ac:dyDescent="0.3">
      <c r="B25" s="116"/>
      <c r="C25" s="59"/>
      <c r="D25" s="18"/>
      <c r="E25" s="63"/>
      <c r="F25" s="57"/>
      <c r="G25" s="111"/>
      <c r="H25" s="112"/>
      <c r="I25" s="117"/>
      <c r="J25" s="125"/>
      <c r="K25" s="102"/>
      <c r="L25" s="18"/>
    </row>
    <row r="26" spans="2:12" x14ac:dyDescent="0.3">
      <c r="B26" s="111"/>
      <c r="C26" s="56"/>
      <c r="D26" s="57"/>
      <c r="E26" s="57"/>
      <c r="F26" s="57"/>
      <c r="G26" s="111"/>
      <c r="H26" s="111"/>
      <c r="I26" s="58"/>
      <c r="J26" s="99"/>
      <c r="K26" s="60"/>
      <c r="L26" s="18"/>
    </row>
    <row r="27" spans="2:12" x14ac:dyDescent="0.3">
      <c r="B27" s="116"/>
      <c r="C27" s="109"/>
      <c r="D27" s="18"/>
      <c r="E27" s="63"/>
      <c r="F27" s="62"/>
      <c r="G27" s="111"/>
      <c r="H27" s="112"/>
      <c r="I27" s="104"/>
      <c r="J27" s="125"/>
      <c r="K27" s="129"/>
      <c r="L27" s="18"/>
    </row>
    <row r="28" spans="2:12" x14ac:dyDescent="0.3">
      <c r="B28" s="111"/>
      <c r="C28" s="56"/>
      <c r="D28" s="57"/>
      <c r="E28" s="57"/>
      <c r="F28" s="57"/>
      <c r="G28" s="111"/>
      <c r="H28" s="111"/>
      <c r="I28" s="58"/>
      <c r="J28" s="99"/>
      <c r="K28" s="60"/>
      <c r="L28" s="18"/>
    </row>
    <row r="29" spans="2:12" x14ac:dyDescent="0.3">
      <c r="B29" s="111"/>
      <c r="C29" s="56"/>
      <c r="D29" s="57"/>
      <c r="E29" s="57"/>
      <c r="F29" s="57"/>
      <c r="G29" s="111"/>
      <c r="H29" s="111"/>
      <c r="I29" s="58"/>
      <c r="J29" s="99"/>
      <c r="K29" s="60"/>
      <c r="L29" s="18"/>
    </row>
    <row r="30" spans="2:12" x14ac:dyDescent="0.3">
      <c r="B30" s="111"/>
      <c r="C30" s="56"/>
      <c r="D30" s="57"/>
      <c r="E30" s="63"/>
      <c r="F30" s="57"/>
      <c r="G30" s="111"/>
      <c r="H30" s="111"/>
      <c r="I30" s="58"/>
      <c r="J30" s="99"/>
      <c r="K30" s="60"/>
      <c r="L30" s="18"/>
    </row>
    <row r="31" spans="2:12" x14ac:dyDescent="0.3">
      <c r="B31" s="118"/>
      <c r="C31" s="119"/>
      <c r="D31" s="120"/>
      <c r="E31" s="63"/>
      <c r="F31" s="120"/>
      <c r="G31" s="121"/>
      <c r="H31" s="121"/>
      <c r="I31" s="121"/>
      <c r="J31" s="126"/>
      <c r="K31" s="60"/>
      <c r="L31" s="18"/>
    </row>
    <row r="32" spans="2:12" x14ac:dyDescent="0.3">
      <c r="B32" s="118"/>
      <c r="C32" s="119"/>
      <c r="D32" s="120"/>
      <c r="E32" s="63"/>
      <c r="F32" s="120"/>
      <c r="G32" s="121"/>
      <c r="H32" s="121"/>
      <c r="I32" s="121"/>
      <c r="J32" s="126"/>
      <c r="K32" s="60"/>
      <c r="L32" s="18"/>
    </row>
    <row r="33" spans="2:12" x14ac:dyDescent="0.3">
      <c r="B33" s="118"/>
      <c r="C33" s="119"/>
      <c r="D33" s="120"/>
      <c r="E33" s="63"/>
      <c r="F33" s="120"/>
      <c r="G33" s="121"/>
      <c r="H33" s="121"/>
      <c r="I33" s="121"/>
      <c r="J33" s="126"/>
      <c r="K33" s="60"/>
      <c r="L33" s="18"/>
    </row>
    <row r="34" spans="2:12" x14ac:dyDescent="0.3">
      <c r="B34" s="111"/>
      <c r="C34" s="59"/>
      <c r="D34" s="18"/>
      <c r="E34" s="57"/>
      <c r="F34" s="62"/>
      <c r="G34" s="116"/>
      <c r="H34" s="112"/>
      <c r="I34" s="122"/>
      <c r="J34" s="125"/>
      <c r="K34" s="130"/>
      <c r="L34" s="123"/>
    </row>
    <row r="35" spans="2:12" x14ac:dyDescent="0.3">
      <c r="B35" s="111"/>
      <c r="C35" s="56"/>
      <c r="D35" s="57"/>
      <c r="E35" s="57"/>
      <c r="F35" s="57"/>
      <c r="G35" s="116"/>
      <c r="H35" s="111"/>
      <c r="I35" s="58"/>
      <c r="J35" s="99"/>
      <c r="K35" s="60"/>
      <c r="L35" s="123"/>
    </row>
    <row r="36" spans="2:12" x14ac:dyDescent="0.3">
      <c r="B36" s="111"/>
      <c r="C36" s="56"/>
      <c r="D36" s="57"/>
      <c r="E36" s="63"/>
      <c r="F36" s="57"/>
      <c r="G36" s="116"/>
      <c r="H36" s="111"/>
      <c r="I36" s="58"/>
      <c r="J36" s="99"/>
      <c r="K36" s="60"/>
      <c r="L36" s="123"/>
    </row>
    <row r="37" spans="2:12" x14ac:dyDescent="0.3">
      <c r="B37" s="111"/>
      <c r="C37" s="110"/>
      <c r="D37" s="57"/>
      <c r="E37" s="63"/>
      <c r="F37" s="57"/>
      <c r="G37" s="116"/>
      <c r="H37" s="111"/>
      <c r="I37" s="58"/>
      <c r="J37" s="60"/>
      <c r="K37" s="60"/>
      <c r="L37" s="123"/>
    </row>
    <row r="38" spans="2:12" x14ac:dyDescent="0.3">
      <c r="B38" s="116"/>
      <c r="C38" s="110"/>
      <c r="D38" s="18"/>
      <c r="E38" s="63"/>
      <c r="F38" s="62"/>
      <c r="G38" s="112"/>
      <c r="H38" s="112"/>
      <c r="I38" s="18"/>
      <c r="J38" s="125"/>
      <c r="K38" s="125"/>
      <c r="L38" s="18"/>
    </row>
    <row r="39" spans="2:12" x14ac:dyDescent="0.3">
      <c r="B39" s="111"/>
      <c r="C39" s="56"/>
      <c r="D39" s="57"/>
      <c r="E39" s="63"/>
      <c r="F39" s="57"/>
      <c r="G39" s="111"/>
      <c r="H39" s="111"/>
      <c r="I39" s="58"/>
      <c r="J39" s="99"/>
      <c r="K39" s="60"/>
      <c r="L39" s="18"/>
    </row>
    <row r="40" spans="2:12" x14ac:dyDescent="0.3">
      <c r="B40" s="111"/>
      <c r="C40" s="56"/>
      <c r="D40" s="57"/>
      <c r="E40" s="57"/>
      <c r="F40" s="57"/>
      <c r="G40" s="111"/>
      <c r="H40" s="111"/>
      <c r="I40" s="58"/>
      <c r="J40" s="99"/>
      <c r="K40" s="60"/>
      <c r="L40" s="18"/>
    </row>
    <row r="41" spans="2:12" x14ac:dyDescent="0.3">
      <c r="B41" s="116"/>
      <c r="C41" s="59"/>
      <c r="D41" s="18"/>
      <c r="E41" s="63"/>
      <c r="F41" s="57"/>
      <c r="G41" s="111"/>
      <c r="H41" s="112"/>
      <c r="I41" s="116"/>
      <c r="J41" s="125"/>
      <c r="K41" s="102"/>
      <c r="L41" s="18"/>
    </row>
    <row r="42" spans="2:12" x14ac:dyDescent="0.3">
      <c r="B42" s="116"/>
      <c r="C42" s="59"/>
      <c r="D42" s="18"/>
      <c r="E42" s="63"/>
      <c r="F42" s="57"/>
      <c r="G42" s="111"/>
      <c r="H42" s="112"/>
      <c r="I42" s="62"/>
      <c r="J42" s="125"/>
      <c r="K42" s="102"/>
      <c r="L42" s="18"/>
    </row>
    <row r="43" spans="2:12" x14ac:dyDescent="0.3">
      <c r="B43" s="116"/>
      <c r="C43" s="59"/>
      <c r="D43" s="18"/>
      <c r="E43" s="63"/>
      <c r="F43" s="57"/>
      <c r="G43" s="111"/>
      <c r="H43" s="112"/>
      <c r="I43" s="62"/>
      <c r="J43" s="125"/>
      <c r="K43" s="102"/>
      <c r="L43" s="18"/>
    </row>
    <row r="44" spans="2:12" x14ac:dyDescent="0.3">
      <c r="B44" s="116"/>
      <c r="C44" s="59"/>
      <c r="D44" s="62"/>
      <c r="E44" s="63"/>
      <c r="F44" s="57"/>
      <c r="G44" s="111"/>
      <c r="H44" s="112"/>
      <c r="I44" s="62"/>
      <c r="J44" s="125"/>
      <c r="K44" s="102"/>
      <c r="L44" s="18"/>
    </row>
    <row r="45" spans="2:12" x14ac:dyDescent="0.3">
      <c r="B45" s="118"/>
      <c r="C45" s="119"/>
      <c r="D45" s="120"/>
      <c r="E45" s="63"/>
      <c r="F45" s="120"/>
      <c r="G45" s="121"/>
      <c r="H45" s="121"/>
      <c r="I45" s="121"/>
      <c r="J45" s="126"/>
      <c r="K45" s="60"/>
      <c r="L45" s="18"/>
    </row>
    <row r="46" spans="2:12" x14ac:dyDescent="0.3">
      <c r="B46" s="118"/>
      <c r="C46" s="119"/>
      <c r="D46" s="120"/>
      <c r="E46" s="63"/>
      <c r="F46" s="120"/>
      <c r="G46" s="121"/>
      <c r="H46" s="121"/>
      <c r="I46" s="121"/>
      <c r="J46" s="126"/>
      <c r="K46" s="102"/>
      <c r="L46" s="18"/>
    </row>
    <row r="47" spans="2:12" x14ac:dyDescent="0.3">
      <c r="B47" s="118"/>
      <c r="C47" s="119"/>
      <c r="D47" s="120"/>
      <c r="E47" s="63"/>
      <c r="F47" s="120"/>
      <c r="G47" s="121"/>
      <c r="H47" s="121"/>
      <c r="I47" s="121"/>
      <c r="J47" s="126"/>
      <c r="K47" s="60"/>
      <c r="L47" s="18"/>
    </row>
    <row r="48" spans="2:12" x14ac:dyDescent="0.3">
      <c r="B48" s="118"/>
      <c r="C48" s="119"/>
      <c r="D48" s="120"/>
      <c r="E48" s="63"/>
      <c r="F48" s="120"/>
      <c r="G48" s="121"/>
      <c r="H48" s="121"/>
      <c r="I48" s="121"/>
      <c r="J48" s="126"/>
      <c r="K48" s="60"/>
      <c r="L48" s="18"/>
    </row>
    <row r="49" spans="2:12" x14ac:dyDescent="0.3">
      <c r="B49" s="118"/>
      <c r="C49" s="119"/>
      <c r="D49" s="120"/>
      <c r="E49" s="63"/>
      <c r="F49" s="120"/>
      <c r="G49" s="121"/>
      <c r="H49" s="121"/>
      <c r="I49" s="120"/>
      <c r="J49" s="126"/>
      <c r="K49" s="126"/>
      <c r="L49" s="18"/>
    </row>
    <row r="50" spans="2:12" x14ac:dyDescent="0.3">
      <c r="B50" s="118"/>
      <c r="C50" s="119"/>
      <c r="D50" s="120"/>
      <c r="E50" s="63"/>
      <c r="F50" s="120"/>
      <c r="G50" s="121"/>
      <c r="H50" s="121"/>
      <c r="I50" s="120"/>
      <c r="J50" s="126"/>
      <c r="K50" s="60"/>
      <c r="L50" s="18"/>
    </row>
    <row r="51" spans="2:12" x14ac:dyDescent="0.3">
      <c r="B51" s="111"/>
      <c r="C51" s="56"/>
      <c r="D51" s="57"/>
      <c r="E51" s="57"/>
      <c r="F51" s="57"/>
      <c r="G51" s="116"/>
      <c r="H51" s="111"/>
      <c r="I51" s="58"/>
      <c r="J51" s="99"/>
      <c r="K51" s="60"/>
      <c r="L51" s="123"/>
    </row>
    <row r="52" spans="2:12" x14ac:dyDescent="0.3">
      <c r="B52" s="116"/>
      <c r="C52" s="110"/>
      <c r="D52" s="18"/>
      <c r="E52" s="63"/>
      <c r="F52" s="62"/>
      <c r="G52" s="112"/>
      <c r="H52" s="112"/>
      <c r="I52" s="112"/>
      <c r="J52" s="125"/>
      <c r="K52" s="125"/>
      <c r="L52" s="18"/>
    </row>
    <row r="53" spans="2:12" x14ac:dyDescent="0.3">
      <c r="B53" s="118"/>
      <c r="C53" s="119"/>
      <c r="D53" s="120"/>
      <c r="E53" s="63"/>
      <c r="F53" s="120"/>
      <c r="G53" s="121"/>
      <c r="H53" s="121"/>
      <c r="I53" s="121"/>
      <c r="J53" s="126"/>
      <c r="K53" s="60"/>
      <c r="L53" s="18"/>
    </row>
    <row r="54" spans="2:12" x14ac:dyDescent="0.3">
      <c r="B54" s="116"/>
      <c r="C54" s="56"/>
      <c r="D54" s="18"/>
      <c r="E54" s="63"/>
      <c r="F54" s="62"/>
      <c r="G54" s="111"/>
      <c r="H54" s="112"/>
      <c r="I54" s="112"/>
      <c r="J54" s="125"/>
      <c r="K54" s="60"/>
      <c r="L54" s="18"/>
    </row>
    <row r="55" spans="2:12" x14ac:dyDescent="0.3">
      <c r="B55" s="118"/>
      <c r="C55" s="119"/>
      <c r="D55" s="120"/>
      <c r="E55" s="63"/>
      <c r="F55" s="120"/>
      <c r="G55" s="121"/>
      <c r="H55" s="121"/>
      <c r="I55" s="121"/>
      <c r="J55" s="126"/>
      <c r="K55" s="60"/>
      <c r="L55" s="18"/>
    </row>
    <row r="56" spans="2:12" x14ac:dyDescent="0.3">
      <c r="B56" s="118"/>
      <c r="C56" s="119"/>
      <c r="D56" s="120"/>
      <c r="E56" s="63"/>
      <c r="F56" s="120"/>
      <c r="G56" s="121"/>
      <c r="H56" s="121"/>
      <c r="I56" s="121"/>
      <c r="J56" s="126"/>
      <c r="K56" s="60"/>
      <c r="L56" s="18"/>
    </row>
    <row r="57" spans="2:12" x14ac:dyDescent="0.3">
      <c r="B57" s="118"/>
      <c r="C57" s="119"/>
      <c r="D57" s="120"/>
      <c r="E57" s="63"/>
      <c r="F57" s="120"/>
      <c r="G57" s="121"/>
      <c r="H57" s="121"/>
      <c r="I57" s="121"/>
      <c r="J57" s="126"/>
      <c r="K57" s="60"/>
      <c r="L57" s="18"/>
    </row>
    <row r="58" spans="2:12" x14ac:dyDescent="0.3">
      <c r="B58" s="111"/>
      <c r="C58" s="56"/>
      <c r="D58" s="57"/>
      <c r="E58" s="63"/>
      <c r="F58" s="57"/>
      <c r="G58" s="111"/>
      <c r="H58" s="121"/>
      <c r="I58" s="58"/>
      <c r="J58" s="99"/>
      <c r="K58" s="130"/>
      <c r="L58" s="123"/>
    </row>
    <row r="59" spans="2:12" x14ac:dyDescent="0.3">
      <c r="B59" s="111"/>
      <c r="C59" s="56"/>
      <c r="D59" s="57"/>
      <c r="E59" s="63"/>
      <c r="F59" s="57"/>
      <c r="G59" s="111"/>
      <c r="H59" s="121"/>
      <c r="I59" s="58"/>
      <c r="J59" s="99"/>
      <c r="K59" s="60"/>
      <c r="L59" s="123"/>
    </row>
  </sheetData>
  <dataValidations count="11"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3:D8">
      <formula1>КатегорииРасходов</formula1>
    </dataValidation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/>
    <dataValidation allowBlank="1" showInputMessage="1" showErrorMessage="1" prompt="Гиперссылка для перехода к сводному листу" sqref="D1"/>
    <dataValidation allowBlank="1" showInputMessage="1" showErrorMessage="1" prompt="Гиперссылка для перехода к листу советов" sqref="E1"/>
    <dataValidation allowBlank="1" showInputMessage="1" showErrorMessage="1" prompt="Укажите дату расхода в этом столбце." sqref="A2"/>
    <dataValidation allowBlank="1" showInputMessage="1" showErrorMessage="1" prompt="Введите номер заказа на покупку в этом столбце." sqref="B2"/>
    <dataValidation allowBlank="1" showInputMessage="1" showErrorMessage="1" prompt="Укажите сумму расходов в этом столбце." sqref="C2"/>
    <dataValidation allowBlank="1" showInputMessage="1" showErrorMessage="1" prompt="Список категорий расходов автоматически заполняется на основе данных столбца &quot;Расходы&quot; таблицы &quot;Сводка расходов&quot; в сводном листе. Для перемещения по списку нажмите клавиши ALT+СТРЕЛКА ВНИЗ. Выберите категорию, нажав клавишу ВВОД." sqref="D2"/>
    <dataValidation allowBlank="1" showInputMessage="1" showErrorMessage="1" prompt="Введите описание расхода в этом столбце." sqref="E2"/>
    <dataValidation type="custom" errorStyle="warning" allowBlank="1" showInputMessage="1" showErrorMessage="1" errorTitle="Проверка суммы" error="Сумма должна быть числом." sqref="C3:C8">
      <formula1>ISNUMBER($C3)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декабрь." sqref="A3:A8">
      <formula1>MONTH($A3)=12</formula1>
    </dataValidation>
  </dataValidations>
  <printOptions horizontalCentered="1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-0.249977111117893"/>
    <pageSetUpPr autoPageBreaks="0" fitToPage="1"/>
  </sheetPr>
  <dimension ref="A4:M323"/>
  <sheetViews>
    <sheetView showGridLines="0" zoomScale="55" zoomScaleNormal="55" workbookViewId="0"/>
  </sheetViews>
  <sheetFormatPr defaultColWidth="9.109375" defaultRowHeight="13.8" x14ac:dyDescent="0.3"/>
  <cols>
    <col min="1" max="1" width="9.109375" style="136"/>
    <col min="2" max="2" width="24.33203125" style="134" bestFit="1" customWidth="1"/>
    <col min="3" max="3" width="63.6640625" style="135" bestFit="1" customWidth="1"/>
    <col min="4" max="4" width="23" style="134" bestFit="1" customWidth="1"/>
    <col min="5" max="5" width="47.44140625" style="134" bestFit="1" customWidth="1"/>
    <col min="6" max="6" width="37.109375" style="159" bestFit="1" customWidth="1"/>
    <col min="7" max="7" width="61.6640625" style="159" customWidth="1"/>
    <col min="8" max="9" width="36.109375" style="134" customWidth="1"/>
    <col min="10" max="10" width="43.5546875" style="134" bestFit="1" customWidth="1"/>
    <col min="11" max="11" width="15.33203125" style="134" customWidth="1"/>
    <col min="12" max="12" width="37.6640625" style="134" bestFit="1" customWidth="1"/>
    <col min="13" max="13" width="28.109375" style="134" customWidth="1"/>
    <col min="14" max="16384" width="9.109375" style="134"/>
  </cols>
  <sheetData>
    <row r="4" spans="2:13" ht="16.2" x14ac:dyDescent="0.3">
      <c r="B4" s="190" t="s">
        <v>22</v>
      </c>
      <c r="C4" s="190" t="s">
        <v>16</v>
      </c>
      <c r="D4" s="190" t="s">
        <v>17</v>
      </c>
      <c r="E4" s="190" t="s">
        <v>23</v>
      </c>
      <c r="F4" s="190" t="s">
        <v>24</v>
      </c>
      <c r="G4" s="190" t="s">
        <v>25</v>
      </c>
      <c r="H4" s="190" t="s">
        <v>26</v>
      </c>
      <c r="I4" s="190" t="s">
        <v>297</v>
      </c>
      <c r="J4" s="190" t="s">
        <v>27</v>
      </c>
      <c r="K4" s="190" t="s">
        <v>28</v>
      </c>
      <c r="L4" s="190" t="s">
        <v>29</v>
      </c>
      <c r="M4" s="190" t="s">
        <v>30</v>
      </c>
    </row>
    <row r="5" spans="2:13" ht="15" customHeight="1" x14ac:dyDescent="0.3">
      <c r="B5" s="198">
        <v>43836</v>
      </c>
      <c r="C5" s="199" t="s">
        <v>110</v>
      </c>
      <c r="D5" s="200" t="s">
        <v>31</v>
      </c>
      <c r="E5" s="224" t="s">
        <v>445</v>
      </c>
      <c r="F5" s="201" t="s">
        <v>111</v>
      </c>
      <c r="G5" s="201" t="s">
        <v>112</v>
      </c>
      <c r="H5" s="201" t="s">
        <v>35</v>
      </c>
      <c r="I5" s="201" t="s">
        <v>97</v>
      </c>
      <c r="J5" s="198">
        <v>43839</v>
      </c>
      <c r="K5" s="198" t="s">
        <v>33</v>
      </c>
      <c r="L5" s="225">
        <v>5456008</v>
      </c>
      <c r="M5" s="226" t="s">
        <v>19</v>
      </c>
    </row>
    <row r="6" spans="2:13" ht="15" customHeight="1" x14ac:dyDescent="0.3">
      <c r="B6" s="198">
        <v>43848</v>
      </c>
      <c r="C6" s="199" t="s">
        <v>186</v>
      </c>
      <c r="D6" s="200" t="s">
        <v>31</v>
      </c>
      <c r="E6" s="224" t="s">
        <v>445</v>
      </c>
      <c r="F6" s="201" t="s">
        <v>111</v>
      </c>
      <c r="G6" s="201" t="s">
        <v>112</v>
      </c>
      <c r="H6" s="206" t="s">
        <v>38</v>
      </c>
      <c r="I6" s="201" t="s">
        <v>97</v>
      </c>
      <c r="J6" s="198">
        <v>43861</v>
      </c>
      <c r="K6" s="198" t="s">
        <v>39</v>
      </c>
      <c r="L6" s="234">
        <v>2887539</v>
      </c>
      <c r="M6" s="226" t="s">
        <v>19</v>
      </c>
    </row>
    <row r="7" spans="2:13" ht="15" customHeight="1" x14ac:dyDescent="0.3">
      <c r="B7" s="198">
        <v>43845</v>
      </c>
      <c r="C7" s="199" t="s">
        <v>329</v>
      </c>
      <c r="D7" s="200" t="s">
        <v>31</v>
      </c>
      <c r="E7" s="200" t="s">
        <v>330</v>
      </c>
      <c r="F7" s="199" t="s">
        <v>331</v>
      </c>
      <c r="G7" s="201" t="s">
        <v>301</v>
      </c>
      <c r="H7" s="201" t="s">
        <v>310</v>
      </c>
      <c r="I7" s="268" t="s">
        <v>97</v>
      </c>
      <c r="J7" s="199" t="s">
        <v>332</v>
      </c>
      <c r="K7" s="198" t="s">
        <v>33</v>
      </c>
      <c r="L7" s="227">
        <v>4990197</v>
      </c>
      <c r="M7" s="226" t="s">
        <v>19</v>
      </c>
    </row>
    <row r="8" spans="2:13" ht="15" customHeight="1" x14ac:dyDescent="0.3">
      <c r="B8" s="198">
        <v>43845</v>
      </c>
      <c r="C8" s="199" t="s">
        <v>333</v>
      </c>
      <c r="D8" s="200" t="s">
        <v>31</v>
      </c>
      <c r="E8" s="200" t="s">
        <v>330</v>
      </c>
      <c r="F8" s="199" t="s">
        <v>331</v>
      </c>
      <c r="G8" s="201" t="s">
        <v>301</v>
      </c>
      <c r="H8" s="201" t="s">
        <v>310</v>
      </c>
      <c r="I8" s="268" t="s">
        <v>97</v>
      </c>
      <c r="J8" s="199" t="s">
        <v>332</v>
      </c>
      <c r="K8" s="198" t="s">
        <v>33</v>
      </c>
      <c r="L8" s="225">
        <v>4990197</v>
      </c>
      <c r="M8" s="226" t="s">
        <v>19</v>
      </c>
    </row>
    <row r="9" spans="2:13" ht="15" customHeight="1" x14ac:dyDescent="0.3">
      <c r="B9" s="198">
        <v>43840</v>
      </c>
      <c r="C9" s="206" t="s">
        <v>146</v>
      </c>
      <c r="D9" s="200" t="s">
        <v>31</v>
      </c>
      <c r="E9" s="200" t="s">
        <v>107</v>
      </c>
      <c r="F9" s="199" t="s">
        <v>106</v>
      </c>
      <c r="G9" s="201" t="s">
        <v>107</v>
      </c>
      <c r="H9" s="201" t="s">
        <v>32</v>
      </c>
      <c r="I9" s="201" t="s">
        <v>97</v>
      </c>
      <c r="J9" s="198">
        <v>43843</v>
      </c>
      <c r="K9" s="198" t="s">
        <v>33</v>
      </c>
      <c r="L9" s="231">
        <v>3305751</v>
      </c>
      <c r="M9" s="226" t="s">
        <v>19</v>
      </c>
    </row>
    <row r="10" spans="2:13" ht="15" customHeight="1" x14ac:dyDescent="0.3">
      <c r="B10" s="198">
        <v>43855</v>
      </c>
      <c r="C10" s="199" t="s">
        <v>226</v>
      </c>
      <c r="D10" s="200" t="s">
        <v>31</v>
      </c>
      <c r="E10" s="200" t="s">
        <v>107</v>
      </c>
      <c r="F10" s="199" t="s">
        <v>227</v>
      </c>
      <c r="G10" s="201" t="s">
        <v>116</v>
      </c>
      <c r="H10" s="201" t="s">
        <v>228</v>
      </c>
      <c r="I10" s="201" t="s">
        <v>229</v>
      </c>
      <c r="J10" s="238" t="s">
        <v>230</v>
      </c>
      <c r="K10" s="198" t="s">
        <v>180</v>
      </c>
      <c r="L10" s="240">
        <v>6937862</v>
      </c>
      <c r="M10" s="226" t="s">
        <v>20</v>
      </c>
    </row>
    <row r="11" spans="2:13" ht="15" customHeight="1" x14ac:dyDescent="0.3">
      <c r="B11" s="198">
        <v>43855</v>
      </c>
      <c r="C11" s="199" t="s">
        <v>233</v>
      </c>
      <c r="D11" s="200" t="s">
        <v>31</v>
      </c>
      <c r="E11" s="200" t="s">
        <v>107</v>
      </c>
      <c r="F11" s="199" t="s">
        <v>227</v>
      </c>
      <c r="G11" s="201" t="s">
        <v>116</v>
      </c>
      <c r="H11" s="201" t="s">
        <v>234</v>
      </c>
      <c r="I11" s="206" t="s">
        <v>101</v>
      </c>
      <c r="J11" s="238">
        <v>43857</v>
      </c>
      <c r="K11" s="229" t="s">
        <v>34</v>
      </c>
      <c r="L11" s="227">
        <v>12431510</v>
      </c>
      <c r="M11" s="226" t="s">
        <v>20</v>
      </c>
    </row>
    <row r="12" spans="2:13" ht="15" customHeight="1" x14ac:dyDescent="0.3">
      <c r="B12" s="198">
        <v>43855</v>
      </c>
      <c r="C12" s="199" t="s">
        <v>233</v>
      </c>
      <c r="D12" s="200" t="s">
        <v>31</v>
      </c>
      <c r="E12" s="200" t="s">
        <v>107</v>
      </c>
      <c r="F12" s="199" t="s">
        <v>227</v>
      </c>
      <c r="G12" s="201" t="s">
        <v>116</v>
      </c>
      <c r="H12" s="201" t="s">
        <v>235</v>
      </c>
      <c r="I12" s="206" t="s">
        <v>101</v>
      </c>
      <c r="J12" s="198">
        <v>43861</v>
      </c>
      <c r="K12" s="229" t="s">
        <v>34</v>
      </c>
      <c r="L12" s="227">
        <v>8416435</v>
      </c>
      <c r="M12" s="226" t="s">
        <v>20</v>
      </c>
    </row>
    <row r="13" spans="2:13" ht="15" customHeight="1" x14ac:dyDescent="0.3">
      <c r="B13" s="198">
        <v>43841</v>
      </c>
      <c r="C13" s="207" t="s">
        <v>154</v>
      </c>
      <c r="D13" s="200" t="s">
        <v>31</v>
      </c>
      <c r="E13" s="200" t="s">
        <v>121</v>
      </c>
      <c r="F13" s="199" t="s">
        <v>155</v>
      </c>
      <c r="G13" s="201" t="s">
        <v>116</v>
      </c>
      <c r="H13" s="201" t="s">
        <v>35</v>
      </c>
      <c r="I13" s="201" t="s">
        <v>97</v>
      </c>
      <c r="J13" s="198" t="s">
        <v>156</v>
      </c>
      <c r="K13" s="198" t="s">
        <v>33</v>
      </c>
      <c r="L13" s="225">
        <v>12831864</v>
      </c>
      <c r="M13" s="226" t="s">
        <v>20</v>
      </c>
    </row>
    <row r="14" spans="2:13" ht="15" customHeight="1" x14ac:dyDescent="0.3">
      <c r="B14" s="198">
        <v>43845</v>
      </c>
      <c r="C14" s="207" t="s">
        <v>154</v>
      </c>
      <c r="D14" s="200" t="s">
        <v>31</v>
      </c>
      <c r="E14" s="200" t="s">
        <v>121</v>
      </c>
      <c r="F14" s="199" t="s">
        <v>155</v>
      </c>
      <c r="G14" s="201" t="s">
        <v>137</v>
      </c>
      <c r="H14" s="201" t="s">
        <v>35</v>
      </c>
      <c r="I14" s="201" t="s">
        <v>97</v>
      </c>
      <c r="J14" s="198" t="s">
        <v>173</v>
      </c>
      <c r="K14" s="198" t="s">
        <v>33</v>
      </c>
      <c r="L14" s="232">
        <v>106205</v>
      </c>
      <c r="M14" s="226" t="s">
        <v>20</v>
      </c>
    </row>
    <row r="15" spans="2:13" ht="15" customHeight="1" x14ac:dyDescent="0.3">
      <c r="B15" s="198">
        <v>43846</v>
      </c>
      <c r="C15" s="200" t="s">
        <v>181</v>
      </c>
      <c r="D15" s="200" t="s">
        <v>31</v>
      </c>
      <c r="E15" s="200" t="s">
        <v>121</v>
      </c>
      <c r="F15" s="199" t="s">
        <v>182</v>
      </c>
      <c r="G15" s="201" t="s">
        <v>116</v>
      </c>
      <c r="H15" s="201" t="s">
        <v>183</v>
      </c>
      <c r="I15" s="201" t="s">
        <v>54</v>
      </c>
      <c r="J15" s="198" t="s">
        <v>184</v>
      </c>
      <c r="K15" s="198" t="s">
        <v>39</v>
      </c>
      <c r="L15" s="232">
        <v>35880683</v>
      </c>
      <c r="M15" s="226" t="s">
        <v>20</v>
      </c>
    </row>
    <row r="16" spans="2:13" ht="15" customHeight="1" x14ac:dyDescent="0.3">
      <c r="B16" s="198">
        <v>43846</v>
      </c>
      <c r="C16" s="199" t="s">
        <v>185</v>
      </c>
      <c r="D16" s="200" t="s">
        <v>31</v>
      </c>
      <c r="E16" s="200" t="s">
        <v>121</v>
      </c>
      <c r="F16" s="199" t="s">
        <v>182</v>
      </c>
      <c r="G16" s="201" t="s">
        <v>116</v>
      </c>
      <c r="H16" s="201" t="s">
        <v>183</v>
      </c>
      <c r="I16" s="201" t="s">
        <v>54</v>
      </c>
      <c r="J16" s="198" t="s">
        <v>179</v>
      </c>
      <c r="K16" s="198" t="s">
        <v>39</v>
      </c>
      <c r="L16" s="232">
        <v>8074766</v>
      </c>
      <c r="M16" s="226" t="s">
        <v>20</v>
      </c>
    </row>
    <row r="17" spans="1:13" ht="15" customHeight="1" x14ac:dyDescent="0.3">
      <c r="B17" s="198">
        <v>43850</v>
      </c>
      <c r="C17" s="199" t="s">
        <v>195</v>
      </c>
      <c r="D17" s="200" t="s">
        <v>31</v>
      </c>
      <c r="E17" s="200" t="s">
        <v>121</v>
      </c>
      <c r="F17" s="199" t="s">
        <v>196</v>
      </c>
      <c r="G17" s="201" t="s">
        <v>197</v>
      </c>
      <c r="H17" s="201" t="s">
        <v>35</v>
      </c>
      <c r="I17" s="201" t="s">
        <v>97</v>
      </c>
      <c r="J17" s="198" t="s">
        <v>198</v>
      </c>
      <c r="K17" s="198" t="s">
        <v>33</v>
      </c>
      <c r="L17" s="234">
        <v>5472817</v>
      </c>
      <c r="M17" s="226" t="s">
        <v>20</v>
      </c>
    </row>
    <row r="18" spans="1:13" ht="15" customHeight="1" x14ac:dyDescent="0.3">
      <c r="B18" s="198">
        <v>43850</v>
      </c>
      <c r="C18" s="228" t="s">
        <v>199</v>
      </c>
      <c r="D18" s="200" t="s">
        <v>31</v>
      </c>
      <c r="E18" s="200" t="s">
        <v>121</v>
      </c>
      <c r="F18" s="199" t="s">
        <v>196</v>
      </c>
      <c r="G18" s="201" t="s">
        <v>197</v>
      </c>
      <c r="H18" s="201" t="s">
        <v>35</v>
      </c>
      <c r="I18" s="201" t="s">
        <v>97</v>
      </c>
      <c r="J18" s="198" t="s">
        <v>198</v>
      </c>
      <c r="K18" s="198" t="s">
        <v>33</v>
      </c>
      <c r="L18" s="234">
        <v>5472817</v>
      </c>
      <c r="M18" s="226" t="s">
        <v>20</v>
      </c>
    </row>
    <row r="19" spans="1:13" ht="15" customHeight="1" x14ac:dyDescent="0.3">
      <c r="B19" s="198">
        <v>43850</v>
      </c>
      <c r="C19" s="228" t="s">
        <v>200</v>
      </c>
      <c r="D19" s="200" t="s">
        <v>31</v>
      </c>
      <c r="E19" s="200" t="s">
        <v>121</v>
      </c>
      <c r="F19" s="199" t="s">
        <v>196</v>
      </c>
      <c r="G19" s="201" t="s">
        <v>197</v>
      </c>
      <c r="H19" s="201" t="s">
        <v>35</v>
      </c>
      <c r="I19" s="201" t="s">
        <v>97</v>
      </c>
      <c r="J19" s="198" t="s">
        <v>198</v>
      </c>
      <c r="K19" s="198" t="s">
        <v>33</v>
      </c>
      <c r="L19" s="234">
        <v>5472817</v>
      </c>
      <c r="M19" s="226" t="s">
        <v>20</v>
      </c>
    </row>
    <row r="20" spans="1:13" ht="15" customHeight="1" x14ac:dyDescent="0.3">
      <c r="B20" s="198">
        <v>43850</v>
      </c>
      <c r="C20" s="200" t="s">
        <v>201</v>
      </c>
      <c r="D20" s="200" t="s">
        <v>31</v>
      </c>
      <c r="E20" s="200" t="s">
        <v>121</v>
      </c>
      <c r="F20" s="199" t="s">
        <v>196</v>
      </c>
      <c r="G20" s="201" t="s">
        <v>197</v>
      </c>
      <c r="H20" s="201" t="s">
        <v>35</v>
      </c>
      <c r="I20" s="201" t="s">
        <v>97</v>
      </c>
      <c r="J20" s="198" t="s">
        <v>202</v>
      </c>
      <c r="K20" s="198" t="s">
        <v>33</v>
      </c>
      <c r="L20" s="234">
        <v>998323</v>
      </c>
      <c r="M20" s="226" t="s">
        <v>20</v>
      </c>
    </row>
    <row r="21" spans="1:13" ht="15" customHeight="1" x14ac:dyDescent="0.3">
      <c r="B21" s="198">
        <v>43851</v>
      </c>
      <c r="C21" s="200" t="s">
        <v>201</v>
      </c>
      <c r="D21" s="200" t="s">
        <v>31</v>
      </c>
      <c r="E21" s="200" t="s">
        <v>121</v>
      </c>
      <c r="F21" s="199" t="s">
        <v>196</v>
      </c>
      <c r="G21" s="201" t="s">
        <v>197</v>
      </c>
      <c r="H21" s="201" t="s">
        <v>35</v>
      </c>
      <c r="I21" s="201" t="s">
        <v>97</v>
      </c>
      <c r="J21" s="198" t="s">
        <v>202</v>
      </c>
      <c r="K21" s="198" t="s">
        <v>33</v>
      </c>
      <c r="L21" s="234">
        <v>6721366</v>
      </c>
      <c r="M21" s="226" t="s">
        <v>20</v>
      </c>
    </row>
    <row r="22" spans="1:13" s="195" customFormat="1" ht="15" customHeight="1" x14ac:dyDescent="0.3">
      <c r="A22" s="136"/>
      <c r="B22" s="198">
        <v>43852</v>
      </c>
      <c r="C22" s="200" t="s">
        <v>217</v>
      </c>
      <c r="D22" s="200" t="s">
        <v>31</v>
      </c>
      <c r="E22" s="200" t="s">
        <v>121</v>
      </c>
      <c r="F22" s="199" t="s">
        <v>218</v>
      </c>
      <c r="G22" s="201" t="s">
        <v>219</v>
      </c>
      <c r="H22" s="237" t="s">
        <v>220</v>
      </c>
      <c r="I22" s="237" t="s">
        <v>91</v>
      </c>
      <c r="J22" s="238">
        <v>43865</v>
      </c>
      <c r="K22" s="229" t="s">
        <v>34</v>
      </c>
      <c r="L22" s="235">
        <v>6131549</v>
      </c>
      <c r="M22" s="226" t="s">
        <v>20</v>
      </c>
    </row>
    <row r="23" spans="1:13" s="195" customFormat="1" ht="15" customHeight="1" x14ac:dyDescent="0.3">
      <c r="A23" s="136"/>
      <c r="B23" s="198">
        <v>43852</v>
      </c>
      <c r="C23" s="200" t="s">
        <v>221</v>
      </c>
      <c r="D23" s="200" t="s">
        <v>31</v>
      </c>
      <c r="E23" s="200" t="s">
        <v>121</v>
      </c>
      <c r="F23" s="199" t="s">
        <v>218</v>
      </c>
      <c r="G23" s="201" t="s">
        <v>219</v>
      </c>
      <c r="H23" s="237" t="s">
        <v>222</v>
      </c>
      <c r="I23" s="237" t="s">
        <v>91</v>
      </c>
      <c r="J23" s="238">
        <v>43865</v>
      </c>
      <c r="K23" s="229" t="s">
        <v>34</v>
      </c>
      <c r="L23" s="235">
        <v>1914269</v>
      </c>
      <c r="M23" s="226" t="s">
        <v>20</v>
      </c>
    </row>
    <row r="24" spans="1:13" s="195" customFormat="1" ht="15" customHeight="1" x14ac:dyDescent="0.3">
      <c r="A24" s="136"/>
      <c r="B24" s="198">
        <v>43852</v>
      </c>
      <c r="C24" s="200" t="s">
        <v>217</v>
      </c>
      <c r="D24" s="200" t="s">
        <v>31</v>
      </c>
      <c r="E24" s="200" t="s">
        <v>121</v>
      </c>
      <c r="F24" s="199" t="s">
        <v>218</v>
      </c>
      <c r="G24" s="201" t="s">
        <v>219</v>
      </c>
      <c r="H24" s="237" t="s">
        <v>222</v>
      </c>
      <c r="I24" s="237" t="s">
        <v>91</v>
      </c>
      <c r="J24" s="238">
        <v>43865</v>
      </c>
      <c r="K24" s="229" t="s">
        <v>34</v>
      </c>
      <c r="L24" s="235">
        <v>1914269</v>
      </c>
      <c r="M24" s="226" t="s">
        <v>20</v>
      </c>
    </row>
    <row r="25" spans="1:13" s="195" customFormat="1" ht="15" customHeight="1" x14ac:dyDescent="0.3">
      <c r="A25" s="136"/>
      <c r="B25" s="198">
        <v>43852</v>
      </c>
      <c r="C25" s="228" t="s">
        <v>221</v>
      </c>
      <c r="D25" s="200" t="s">
        <v>31</v>
      </c>
      <c r="E25" s="200" t="s">
        <v>121</v>
      </c>
      <c r="F25" s="199" t="s">
        <v>218</v>
      </c>
      <c r="G25" s="201" t="s">
        <v>219</v>
      </c>
      <c r="H25" s="237" t="s">
        <v>223</v>
      </c>
      <c r="I25" s="237" t="s">
        <v>91</v>
      </c>
      <c r="J25" s="238">
        <v>43864</v>
      </c>
      <c r="K25" s="229" t="s">
        <v>33</v>
      </c>
      <c r="L25" s="227">
        <v>5407612</v>
      </c>
      <c r="M25" s="226" t="s">
        <v>20</v>
      </c>
    </row>
    <row r="26" spans="1:13" s="195" customFormat="1" ht="15" customHeight="1" x14ac:dyDescent="0.3">
      <c r="A26" s="136"/>
      <c r="B26" s="198">
        <v>43852</v>
      </c>
      <c r="C26" s="228" t="s">
        <v>217</v>
      </c>
      <c r="D26" s="200" t="s">
        <v>31</v>
      </c>
      <c r="E26" s="200" t="s">
        <v>121</v>
      </c>
      <c r="F26" s="199" t="s">
        <v>218</v>
      </c>
      <c r="G26" s="201" t="s">
        <v>219</v>
      </c>
      <c r="H26" s="237" t="s">
        <v>223</v>
      </c>
      <c r="I26" s="237" t="s">
        <v>91</v>
      </c>
      <c r="J26" s="238">
        <v>43864</v>
      </c>
      <c r="K26" s="229" t="s">
        <v>33</v>
      </c>
      <c r="L26" s="234">
        <v>5407612</v>
      </c>
      <c r="M26" s="226" t="s">
        <v>20</v>
      </c>
    </row>
    <row r="27" spans="1:13" s="195" customFormat="1" ht="15" customHeight="1" x14ac:dyDescent="0.3">
      <c r="A27" s="136"/>
      <c r="B27" s="198">
        <v>43852</v>
      </c>
      <c r="C27" s="199" t="s">
        <v>221</v>
      </c>
      <c r="D27" s="200" t="s">
        <v>31</v>
      </c>
      <c r="E27" s="200" t="s">
        <v>121</v>
      </c>
      <c r="F27" s="199" t="s">
        <v>218</v>
      </c>
      <c r="G27" s="201" t="s">
        <v>219</v>
      </c>
      <c r="H27" s="237" t="s">
        <v>38</v>
      </c>
      <c r="I27" s="201" t="s">
        <v>97</v>
      </c>
      <c r="J27" s="238">
        <v>43865</v>
      </c>
      <c r="K27" s="229" t="s">
        <v>34</v>
      </c>
      <c r="L27" s="227">
        <v>2436412</v>
      </c>
      <c r="M27" s="226" t="s">
        <v>20</v>
      </c>
    </row>
    <row r="28" spans="1:13" s="196" customFormat="1" ht="15" customHeight="1" x14ac:dyDescent="0.3">
      <c r="A28" s="136"/>
      <c r="B28" s="198">
        <v>43852</v>
      </c>
      <c r="C28" s="199" t="s">
        <v>154</v>
      </c>
      <c r="D28" s="200" t="s">
        <v>31</v>
      </c>
      <c r="E28" s="200" t="s">
        <v>121</v>
      </c>
      <c r="F28" s="199" t="s">
        <v>155</v>
      </c>
      <c r="G28" s="201" t="s">
        <v>137</v>
      </c>
      <c r="H28" s="201" t="s">
        <v>38</v>
      </c>
      <c r="I28" s="201" t="s">
        <v>97</v>
      </c>
      <c r="J28" s="198">
        <v>43855</v>
      </c>
      <c r="K28" s="198" t="s">
        <v>33</v>
      </c>
      <c r="L28" s="232">
        <v>105858</v>
      </c>
      <c r="M28" s="226" t="s">
        <v>20</v>
      </c>
    </row>
    <row r="29" spans="1:13" s="196" customFormat="1" ht="15" customHeight="1" x14ac:dyDescent="0.3">
      <c r="A29" s="136"/>
      <c r="B29" s="198">
        <v>43854</v>
      </c>
      <c r="C29" s="199" t="s">
        <v>217</v>
      </c>
      <c r="D29" s="200" t="s">
        <v>31</v>
      </c>
      <c r="E29" s="200" t="s">
        <v>121</v>
      </c>
      <c r="F29" s="199" t="s">
        <v>218</v>
      </c>
      <c r="G29" s="201" t="s">
        <v>224</v>
      </c>
      <c r="H29" s="237" t="s">
        <v>223</v>
      </c>
      <c r="I29" s="237" t="s">
        <v>91</v>
      </c>
      <c r="J29" s="238">
        <v>43865</v>
      </c>
      <c r="K29" s="229" t="s">
        <v>34</v>
      </c>
      <c r="L29" s="227">
        <v>11074105</v>
      </c>
      <c r="M29" s="226" t="s">
        <v>20</v>
      </c>
    </row>
    <row r="30" spans="1:13" s="196" customFormat="1" ht="15" customHeight="1" x14ac:dyDescent="0.3">
      <c r="A30" s="136"/>
      <c r="B30" s="198">
        <v>43854</v>
      </c>
      <c r="C30" s="199" t="s">
        <v>221</v>
      </c>
      <c r="D30" s="200" t="s">
        <v>31</v>
      </c>
      <c r="E30" s="200" t="s">
        <v>121</v>
      </c>
      <c r="F30" s="199" t="s">
        <v>218</v>
      </c>
      <c r="G30" s="201" t="s">
        <v>224</v>
      </c>
      <c r="H30" s="237" t="s">
        <v>223</v>
      </c>
      <c r="I30" s="237" t="s">
        <v>91</v>
      </c>
      <c r="J30" s="238">
        <v>43865</v>
      </c>
      <c r="K30" s="229" t="s">
        <v>34</v>
      </c>
      <c r="L30" s="227">
        <v>3723472</v>
      </c>
      <c r="M30" s="226" t="s">
        <v>20</v>
      </c>
    </row>
    <row r="31" spans="1:13" s="196" customFormat="1" ht="15" customHeight="1" x14ac:dyDescent="0.3">
      <c r="A31" s="136"/>
      <c r="B31" s="198">
        <v>43854</v>
      </c>
      <c r="C31" s="199" t="s">
        <v>217</v>
      </c>
      <c r="D31" s="200" t="s">
        <v>31</v>
      </c>
      <c r="E31" s="200" t="s">
        <v>121</v>
      </c>
      <c r="F31" s="199" t="s">
        <v>218</v>
      </c>
      <c r="G31" s="201" t="s">
        <v>224</v>
      </c>
      <c r="H31" s="237" t="s">
        <v>38</v>
      </c>
      <c r="I31" s="201" t="s">
        <v>97</v>
      </c>
      <c r="J31" s="238">
        <v>43864</v>
      </c>
      <c r="K31" s="229" t="s">
        <v>34</v>
      </c>
      <c r="L31" s="227">
        <v>5803034</v>
      </c>
      <c r="M31" s="226" t="s">
        <v>20</v>
      </c>
    </row>
    <row r="32" spans="1:13" s="196" customFormat="1" ht="15" customHeight="1" x14ac:dyDescent="0.3">
      <c r="A32" s="136"/>
      <c r="B32" s="198">
        <v>43854</v>
      </c>
      <c r="C32" s="199" t="s">
        <v>221</v>
      </c>
      <c r="D32" s="200" t="s">
        <v>31</v>
      </c>
      <c r="E32" s="200" t="s">
        <v>121</v>
      </c>
      <c r="F32" s="199" t="s">
        <v>218</v>
      </c>
      <c r="G32" s="201" t="s">
        <v>224</v>
      </c>
      <c r="H32" s="201" t="s">
        <v>38</v>
      </c>
      <c r="I32" s="201" t="s">
        <v>97</v>
      </c>
      <c r="J32" s="238">
        <v>43864</v>
      </c>
      <c r="K32" s="229" t="s">
        <v>34</v>
      </c>
      <c r="L32" s="227">
        <v>5803034</v>
      </c>
      <c r="M32" s="226" t="s">
        <v>20</v>
      </c>
    </row>
    <row r="33" spans="1:13" s="196" customFormat="1" ht="15" customHeight="1" x14ac:dyDescent="0.3">
      <c r="A33" s="136"/>
      <c r="B33" s="198">
        <v>43854</v>
      </c>
      <c r="C33" s="228" t="s">
        <v>201</v>
      </c>
      <c r="D33" s="200" t="s">
        <v>31</v>
      </c>
      <c r="E33" s="200" t="s">
        <v>121</v>
      </c>
      <c r="F33" s="199" t="s">
        <v>196</v>
      </c>
      <c r="G33" s="201" t="s">
        <v>197</v>
      </c>
      <c r="H33" s="201" t="s">
        <v>38</v>
      </c>
      <c r="I33" s="201" t="s">
        <v>97</v>
      </c>
      <c r="J33" s="198">
        <v>43855</v>
      </c>
      <c r="K33" s="198" t="s">
        <v>33</v>
      </c>
      <c r="L33" s="239">
        <v>6160920</v>
      </c>
      <c r="M33" s="226" t="s">
        <v>20</v>
      </c>
    </row>
    <row r="34" spans="1:13" s="196" customFormat="1" ht="15" customHeight="1" x14ac:dyDescent="0.3">
      <c r="A34" s="136"/>
      <c r="B34" s="198">
        <v>43854</v>
      </c>
      <c r="C34" s="228" t="s">
        <v>225</v>
      </c>
      <c r="D34" s="200" t="s">
        <v>31</v>
      </c>
      <c r="E34" s="200" t="s">
        <v>121</v>
      </c>
      <c r="F34" s="199" t="s">
        <v>196</v>
      </c>
      <c r="G34" s="201" t="s">
        <v>197</v>
      </c>
      <c r="H34" s="201" t="s">
        <v>38</v>
      </c>
      <c r="I34" s="201" t="s">
        <v>97</v>
      </c>
      <c r="J34" s="198">
        <v>43855</v>
      </c>
      <c r="K34" s="198" t="s">
        <v>33</v>
      </c>
      <c r="L34" s="239">
        <v>741004</v>
      </c>
      <c r="M34" s="226" t="s">
        <v>20</v>
      </c>
    </row>
    <row r="35" spans="1:13" s="196" customFormat="1" ht="16.2" hidden="1" x14ac:dyDescent="0.3">
      <c r="A35" s="136"/>
      <c r="B35" s="198"/>
      <c r="C35" s="199"/>
      <c r="D35" s="200"/>
      <c r="E35" s="200"/>
      <c r="F35" s="199"/>
      <c r="G35" s="201"/>
      <c r="H35" s="201"/>
      <c r="I35" s="201"/>
      <c r="J35" s="198"/>
      <c r="K35" s="198"/>
      <c r="L35" s="225"/>
      <c r="M35" s="226"/>
    </row>
    <row r="36" spans="1:13" s="196" customFormat="1" ht="16.2" hidden="1" x14ac:dyDescent="0.3">
      <c r="A36" s="136"/>
      <c r="B36" s="198"/>
      <c r="C36" s="199"/>
      <c r="D36" s="200"/>
      <c r="E36" s="200"/>
      <c r="F36" s="199"/>
      <c r="G36" s="201"/>
      <c r="H36" s="201"/>
      <c r="I36" s="201"/>
      <c r="J36" s="198"/>
      <c r="K36" s="198"/>
      <c r="L36" s="225"/>
      <c r="M36" s="226"/>
    </row>
    <row r="37" spans="1:13" s="196" customFormat="1" ht="15" customHeight="1" x14ac:dyDescent="0.3">
      <c r="A37" s="136"/>
      <c r="B37" s="198">
        <v>43858</v>
      </c>
      <c r="C37" s="199" t="s">
        <v>278</v>
      </c>
      <c r="D37" s="200" t="s">
        <v>31</v>
      </c>
      <c r="E37" s="200" t="s">
        <v>121</v>
      </c>
      <c r="F37" s="199" t="s">
        <v>269</v>
      </c>
      <c r="G37" s="201" t="s">
        <v>270</v>
      </c>
      <c r="H37" s="201" t="s">
        <v>279</v>
      </c>
      <c r="I37" s="201" t="s">
        <v>71</v>
      </c>
      <c r="J37" s="198">
        <v>43862</v>
      </c>
      <c r="K37" s="198" t="s">
        <v>180</v>
      </c>
      <c r="L37" s="227">
        <v>5095472</v>
      </c>
      <c r="M37" s="226" t="s">
        <v>20</v>
      </c>
    </row>
    <row r="38" spans="1:13" s="197" customFormat="1" ht="15" customHeight="1" x14ac:dyDescent="0.3">
      <c r="A38" s="136"/>
      <c r="B38" s="198">
        <v>43858</v>
      </c>
      <c r="C38" s="199" t="s">
        <v>278</v>
      </c>
      <c r="D38" s="200" t="s">
        <v>31</v>
      </c>
      <c r="E38" s="200" t="s">
        <v>121</v>
      </c>
      <c r="F38" s="199" t="s">
        <v>269</v>
      </c>
      <c r="G38" s="201" t="s">
        <v>270</v>
      </c>
      <c r="H38" s="201" t="s">
        <v>280</v>
      </c>
      <c r="I38" s="201" t="s">
        <v>71</v>
      </c>
      <c r="J38" s="198">
        <v>43859</v>
      </c>
      <c r="K38" s="198" t="s">
        <v>180</v>
      </c>
      <c r="L38" s="227">
        <v>4231803</v>
      </c>
      <c r="M38" s="226" t="s">
        <v>20</v>
      </c>
    </row>
    <row r="39" spans="1:13" s="196" customFormat="1" ht="15" customHeight="1" x14ac:dyDescent="0.3">
      <c r="A39" s="136"/>
      <c r="B39" s="198">
        <v>43858</v>
      </c>
      <c r="C39" s="228" t="s">
        <v>281</v>
      </c>
      <c r="D39" s="200" t="s">
        <v>31</v>
      </c>
      <c r="E39" s="200" t="s">
        <v>121</v>
      </c>
      <c r="F39" s="199" t="s">
        <v>269</v>
      </c>
      <c r="G39" s="201" t="s">
        <v>270</v>
      </c>
      <c r="H39" s="201" t="s">
        <v>282</v>
      </c>
      <c r="I39" s="201" t="s">
        <v>71</v>
      </c>
      <c r="J39" s="198" t="s">
        <v>272</v>
      </c>
      <c r="K39" s="198" t="s">
        <v>180</v>
      </c>
      <c r="L39" s="227">
        <v>9802250</v>
      </c>
      <c r="M39" s="226" t="s">
        <v>20</v>
      </c>
    </row>
    <row r="40" spans="1:13" s="196" customFormat="1" ht="15" customHeight="1" x14ac:dyDescent="0.3">
      <c r="A40" s="136"/>
      <c r="B40" s="198">
        <v>43860</v>
      </c>
      <c r="C40" s="228" t="s">
        <v>199</v>
      </c>
      <c r="D40" s="200" t="s">
        <v>31</v>
      </c>
      <c r="E40" s="200" t="s">
        <v>121</v>
      </c>
      <c r="F40" s="199" t="s">
        <v>196</v>
      </c>
      <c r="G40" s="201" t="s">
        <v>116</v>
      </c>
      <c r="H40" s="224" t="s">
        <v>32</v>
      </c>
      <c r="I40" s="201" t="s">
        <v>97</v>
      </c>
      <c r="J40" s="198">
        <v>43863</v>
      </c>
      <c r="K40" s="198" t="s">
        <v>33</v>
      </c>
      <c r="L40" s="234">
        <v>4029537</v>
      </c>
      <c r="M40" s="226" t="s">
        <v>20</v>
      </c>
    </row>
    <row r="41" spans="1:13" s="196" customFormat="1" ht="15" customHeight="1" x14ac:dyDescent="0.3">
      <c r="A41" s="136"/>
      <c r="B41" s="198">
        <v>43860</v>
      </c>
      <c r="C41" s="228" t="s">
        <v>291</v>
      </c>
      <c r="D41" s="200" t="s">
        <v>31</v>
      </c>
      <c r="E41" s="200" t="s">
        <v>121</v>
      </c>
      <c r="F41" s="199" t="s">
        <v>196</v>
      </c>
      <c r="G41" s="201" t="s">
        <v>116</v>
      </c>
      <c r="H41" s="224" t="s">
        <v>35</v>
      </c>
      <c r="I41" s="201" t="s">
        <v>97</v>
      </c>
      <c r="J41" s="198" t="s">
        <v>292</v>
      </c>
      <c r="K41" s="198" t="s">
        <v>33</v>
      </c>
      <c r="L41" s="234">
        <v>6345216</v>
      </c>
      <c r="M41" s="226" t="s">
        <v>20</v>
      </c>
    </row>
    <row r="42" spans="1:13" s="196" customFormat="1" ht="15" customHeight="1" x14ac:dyDescent="0.3">
      <c r="A42" s="136"/>
      <c r="B42" s="198">
        <v>43860</v>
      </c>
      <c r="C42" s="228" t="s">
        <v>293</v>
      </c>
      <c r="D42" s="200" t="s">
        <v>31</v>
      </c>
      <c r="E42" s="200" t="s">
        <v>121</v>
      </c>
      <c r="F42" s="199" t="s">
        <v>227</v>
      </c>
      <c r="G42" s="201" t="s">
        <v>294</v>
      </c>
      <c r="H42" s="224" t="s">
        <v>246</v>
      </c>
      <c r="I42" s="241" t="s">
        <v>81</v>
      </c>
      <c r="J42" s="198">
        <v>43864</v>
      </c>
      <c r="K42" s="229" t="s">
        <v>247</v>
      </c>
      <c r="L42" s="234">
        <v>300000</v>
      </c>
      <c r="M42" s="226" t="s">
        <v>20</v>
      </c>
    </row>
    <row r="43" spans="1:13" s="196" customFormat="1" ht="16.2" hidden="1" x14ac:dyDescent="0.3">
      <c r="A43" s="136"/>
      <c r="B43" s="198"/>
      <c r="C43" s="208"/>
      <c r="D43" s="200"/>
      <c r="E43" s="200"/>
      <c r="F43" s="199"/>
      <c r="G43" s="201"/>
      <c r="H43" s="206"/>
      <c r="I43" s="201"/>
      <c r="J43" s="198"/>
      <c r="K43" s="198"/>
      <c r="L43" s="225"/>
      <c r="M43" s="226"/>
    </row>
    <row r="44" spans="1:13" s="196" customFormat="1" ht="15" customHeight="1" x14ac:dyDescent="0.3">
      <c r="A44" s="136"/>
      <c r="B44" s="198">
        <v>43860</v>
      </c>
      <c r="C44" s="228" t="s">
        <v>295</v>
      </c>
      <c r="D44" s="200" t="s">
        <v>31</v>
      </c>
      <c r="E44" s="200" t="s">
        <v>121</v>
      </c>
      <c r="F44" s="199" t="s">
        <v>196</v>
      </c>
      <c r="G44" s="201" t="s">
        <v>116</v>
      </c>
      <c r="H44" s="224" t="s">
        <v>35</v>
      </c>
      <c r="I44" s="201" t="s">
        <v>97</v>
      </c>
      <c r="J44" s="198" t="s">
        <v>292</v>
      </c>
      <c r="K44" s="198" t="s">
        <v>33</v>
      </c>
      <c r="L44" s="234">
        <v>7970982</v>
      </c>
      <c r="M44" s="226" t="s">
        <v>20</v>
      </c>
    </row>
    <row r="45" spans="1:13" s="196" customFormat="1" ht="15" hidden="1" customHeight="1" x14ac:dyDescent="0.3">
      <c r="A45" s="136"/>
      <c r="B45" s="198"/>
      <c r="C45" s="199"/>
      <c r="D45" s="200"/>
      <c r="E45" s="201"/>
      <c r="F45" s="199"/>
      <c r="G45" s="201"/>
      <c r="H45" s="201"/>
      <c r="I45" s="268"/>
      <c r="J45" s="198"/>
      <c r="K45" s="198"/>
      <c r="L45" s="225"/>
      <c r="M45" s="226"/>
    </row>
    <row r="46" spans="1:13" s="193" customFormat="1" ht="15" hidden="1" customHeight="1" x14ac:dyDescent="0.3">
      <c r="A46" s="136"/>
      <c r="B46" s="198"/>
      <c r="C46" s="199"/>
      <c r="D46" s="200"/>
      <c r="E46" s="201"/>
      <c r="F46" s="199"/>
      <c r="G46" s="201"/>
      <c r="H46" s="201"/>
      <c r="I46" s="268"/>
      <c r="J46" s="199"/>
      <c r="K46" s="198"/>
      <c r="L46" s="225"/>
      <c r="M46" s="226"/>
    </row>
    <row r="47" spans="1:13" s="196" customFormat="1" ht="15" hidden="1" customHeight="1" x14ac:dyDescent="0.3">
      <c r="A47" s="136"/>
      <c r="B47" s="198"/>
      <c r="C47" s="199"/>
      <c r="D47" s="200"/>
      <c r="E47" s="200"/>
      <c r="F47" s="199"/>
      <c r="G47" s="201"/>
      <c r="H47" s="201"/>
      <c r="I47" s="268"/>
      <c r="J47" s="201"/>
      <c r="K47" s="198"/>
      <c r="L47" s="225"/>
      <c r="M47" s="226"/>
    </row>
    <row r="48" spans="1:13" s="196" customFormat="1" ht="15" hidden="1" customHeight="1" x14ac:dyDescent="0.3">
      <c r="A48" s="136"/>
      <c r="B48" s="198"/>
      <c r="C48" s="199"/>
      <c r="D48" s="200"/>
      <c r="E48" s="200"/>
      <c r="F48" s="200"/>
      <c r="G48" s="201"/>
      <c r="H48" s="201"/>
      <c r="I48" s="268"/>
      <c r="J48" s="198"/>
      <c r="K48" s="198"/>
      <c r="L48" s="227"/>
      <c r="M48" s="226"/>
    </row>
    <row r="49" spans="1:13" s="195" customFormat="1" ht="15" customHeight="1" x14ac:dyDescent="0.3">
      <c r="A49" s="136"/>
      <c r="B49" s="198">
        <v>43839</v>
      </c>
      <c r="C49" s="199" t="s">
        <v>313</v>
      </c>
      <c r="D49" s="200" t="s">
        <v>31</v>
      </c>
      <c r="E49" s="200" t="s">
        <v>314</v>
      </c>
      <c r="F49" s="199" t="s">
        <v>315</v>
      </c>
      <c r="G49" s="201" t="s">
        <v>301</v>
      </c>
      <c r="H49" s="201" t="s">
        <v>316</v>
      </c>
      <c r="I49" s="268" t="s">
        <v>101</v>
      </c>
      <c r="J49" s="199" t="s">
        <v>317</v>
      </c>
      <c r="K49" s="198" t="s">
        <v>40</v>
      </c>
      <c r="L49" s="225">
        <v>11481600</v>
      </c>
      <c r="M49" s="226" t="s">
        <v>20</v>
      </c>
    </row>
    <row r="50" spans="1:13" s="195" customFormat="1" ht="15" customHeight="1" x14ac:dyDescent="0.3">
      <c r="A50" s="136"/>
      <c r="B50" s="198">
        <v>43839</v>
      </c>
      <c r="C50" s="199" t="s">
        <v>318</v>
      </c>
      <c r="D50" s="200" t="s">
        <v>31</v>
      </c>
      <c r="E50" s="200" t="s">
        <v>314</v>
      </c>
      <c r="F50" s="199" t="s">
        <v>315</v>
      </c>
      <c r="G50" s="201" t="s">
        <v>301</v>
      </c>
      <c r="H50" s="201" t="s">
        <v>316</v>
      </c>
      <c r="I50" s="268" t="s">
        <v>101</v>
      </c>
      <c r="J50" s="199" t="s">
        <v>319</v>
      </c>
      <c r="K50" s="198" t="s">
        <v>40</v>
      </c>
      <c r="L50" s="225">
        <v>11481600</v>
      </c>
      <c r="M50" s="226" t="s">
        <v>20</v>
      </c>
    </row>
    <row r="51" spans="1:13" s="195" customFormat="1" ht="15" customHeight="1" x14ac:dyDescent="0.3">
      <c r="A51" s="136"/>
      <c r="B51" s="198">
        <v>43846</v>
      </c>
      <c r="C51" s="199" t="s">
        <v>334</v>
      </c>
      <c r="D51" s="200" t="s">
        <v>31</v>
      </c>
      <c r="E51" s="200" t="s">
        <v>314</v>
      </c>
      <c r="F51" s="199" t="s">
        <v>335</v>
      </c>
      <c r="G51" s="201" t="s">
        <v>336</v>
      </c>
      <c r="H51" s="201" t="s">
        <v>305</v>
      </c>
      <c r="I51" s="268" t="s">
        <v>97</v>
      </c>
      <c r="J51" s="199" t="s">
        <v>337</v>
      </c>
      <c r="K51" s="198" t="s">
        <v>39</v>
      </c>
      <c r="L51" s="225">
        <v>4261244</v>
      </c>
      <c r="M51" s="226" t="s">
        <v>20</v>
      </c>
    </row>
    <row r="52" spans="1:13" s="195" customFormat="1" ht="15" customHeight="1" x14ac:dyDescent="0.3">
      <c r="A52" s="136"/>
      <c r="B52" s="198">
        <v>43846</v>
      </c>
      <c r="C52" s="199" t="s">
        <v>313</v>
      </c>
      <c r="D52" s="200" t="s">
        <v>31</v>
      </c>
      <c r="E52" s="200" t="s">
        <v>314</v>
      </c>
      <c r="F52" s="199" t="s">
        <v>315</v>
      </c>
      <c r="G52" s="201" t="s">
        <v>137</v>
      </c>
      <c r="H52" s="201" t="s">
        <v>338</v>
      </c>
      <c r="I52" s="268" t="s">
        <v>101</v>
      </c>
      <c r="J52" s="249">
        <v>43847</v>
      </c>
      <c r="K52" s="198" t="s">
        <v>40</v>
      </c>
      <c r="L52" s="225">
        <v>2582400</v>
      </c>
      <c r="M52" s="226" t="s">
        <v>20</v>
      </c>
    </row>
    <row r="53" spans="1:13" s="195" customFormat="1" ht="15" customHeight="1" x14ac:dyDescent="0.3">
      <c r="A53" s="136"/>
      <c r="B53" s="198">
        <v>43846</v>
      </c>
      <c r="C53" s="199" t="s">
        <v>318</v>
      </c>
      <c r="D53" s="200" t="s">
        <v>31</v>
      </c>
      <c r="E53" s="200" t="s">
        <v>314</v>
      </c>
      <c r="F53" s="199" t="s">
        <v>315</v>
      </c>
      <c r="G53" s="201" t="s">
        <v>137</v>
      </c>
      <c r="H53" s="201" t="s">
        <v>338</v>
      </c>
      <c r="I53" s="268" t="s">
        <v>101</v>
      </c>
      <c r="J53" s="249">
        <v>43847</v>
      </c>
      <c r="K53" s="198" t="s">
        <v>40</v>
      </c>
      <c r="L53" s="225">
        <v>2582400</v>
      </c>
      <c r="M53" s="226" t="s">
        <v>20</v>
      </c>
    </row>
    <row r="54" spans="1:13" s="195" customFormat="1" ht="15" customHeight="1" x14ac:dyDescent="0.3">
      <c r="A54" s="136"/>
      <c r="B54" s="198">
        <v>43836</v>
      </c>
      <c r="C54" s="199" t="s">
        <v>307</v>
      </c>
      <c r="D54" s="200" t="s">
        <v>31</v>
      </c>
      <c r="E54" s="201" t="s">
        <v>308</v>
      </c>
      <c r="F54" s="200" t="s">
        <v>309</v>
      </c>
      <c r="G54" s="201" t="s">
        <v>301</v>
      </c>
      <c r="H54" s="201" t="s">
        <v>310</v>
      </c>
      <c r="I54" s="268" t="s">
        <v>97</v>
      </c>
      <c r="J54" s="243" t="s">
        <v>311</v>
      </c>
      <c r="K54" s="198" t="s">
        <v>39</v>
      </c>
      <c r="L54" s="225">
        <v>4677695</v>
      </c>
      <c r="M54" s="226" t="s">
        <v>20</v>
      </c>
    </row>
    <row r="55" spans="1:13" s="195" customFormat="1" ht="15" customHeight="1" x14ac:dyDescent="0.3">
      <c r="A55" s="136"/>
      <c r="B55" s="198">
        <v>43840</v>
      </c>
      <c r="C55" s="199" t="s">
        <v>324</v>
      </c>
      <c r="D55" s="200" t="s">
        <v>31</v>
      </c>
      <c r="E55" s="200" t="s">
        <v>308</v>
      </c>
      <c r="F55" s="199" t="s">
        <v>309</v>
      </c>
      <c r="G55" s="201" t="s">
        <v>301</v>
      </c>
      <c r="H55" s="201" t="s">
        <v>305</v>
      </c>
      <c r="I55" s="268" t="s">
        <v>62</v>
      </c>
      <c r="J55" s="201" t="s">
        <v>325</v>
      </c>
      <c r="K55" s="198" t="s">
        <v>39</v>
      </c>
      <c r="L55" s="225">
        <v>7356247</v>
      </c>
      <c r="M55" s="226" t="s">
        <v>20</v>
      </c>
    </row>
    <row r="56" spans="1:13" s="195" customFormat="1" ht="15" customHeight="1" x14ac:dyDescent="0.3">
      <c r="A56" s="136"/>
      <c r="B56" s="198">
        <v>43840</v>
      </c>
      <c r="C56" s="199" t="s">
        <v>326</v>
      </c>
      <c r="D56" s="200" t="s">
        <v>31</v>
      </c>
      <c r="E56" s="201" t="s">
        <v>308</v>
      </c>
      <c r="F56" s="199" t="s">
        <v>309</v>
      </c>
      <c r="G56" s="201" t="s">
        <v>301</v>
      </c>
      <c r="H56" s="201" t="s">
        <v>310</v>
      </c>
      <c r="I56" s="268" t="s">
        <v>62</v>
      </c>
      <c r="J56" s="199" t="s">
        <v>327</v>
      </c>
      <c r="K56" s="198" t="s">
        <v>39</v>
      </c>
      <c r="L56" s="225">
        <v>5067301</v>
      </c>
      <c r="M56" s="226" t="s">
        <v>20</v>
      </c>
    </row>
    <row r="57" spans="1:13" s="195" customFormat="1" ht="15" customHeight="1" x14ac:dyDescent="0.3">
      <c r="A57" s="136"/>
      <c r="B57" s="198">
        <v>43840</v>
      </c>
      <c r="C57" s="263" t="s">
        <v>328</v>
      </c>
      <c r="D57" s="200" t="s">
        <v>31</v>
      </c>
      <c r="E57" s="201" t="s">
        <v>308</v>
      </c>
      <c r="F57" s="199" t="s">
        <v>309</v>
      </c>
      <c r="G57" s="201" t="s">
        <v>301</v>
      </c>
      <c r="H57" s="201" t="s">
        <v>310</v>
      </c>
      <c r="I57" s="268" t="s">
        <v>62</v>
      </c>
      <c r="J57" s="199" t="s">
        <v>327</v>
      </c>
      <c r="K57" s="198" t="s">
        <v>39</v>
      </c>
      <c r="L57" s="225">
        <v>5067301</v>
      </c>
      <c r="M57" s="226" t="s">
        <v>20</v>
      </c>
    </row>
    <row r="58" spans="1:13" s="195" customFormat="1" ht="15" customHeight="1" x14ac:dyDescent="0.3">
      <c r="A58" s="136"/>
      <c r="B58" s="198">
        <v>43846</v>
      </c>
      <c r="C58" s="199" t="s">
        <v>326</v>
      </c>
      <c r="D58" s="200" t="s">
        <v>31</v>
      </c>
      <c r="E58" s="201" t="s">
        <v>308</v>
      </c>
      <c r="F58" s="199" t="s">
        <v>309</v>
      </c>
      <c r="G58" s="201" t="s">
        <v>137</v>
      </c>
      <c r="H58" s="201" t="s">
        <v>310</v>
      </c>
      <c r="I58" s="268" t="s">
        <v>97</v>
      </c>
      <c r="J58" s="249">
        <v>43855</v>
      </c>
      <c r="K58" s="236" t="s">
        <v>39</v>
      </c>
      <c r="L58" s="225">
        <v>620799</v>
      </c>
      <c r="M58" s="226" t="s">
        <v>20</v>
      </c>
    </row>
    <row r="59" spans="1:13" s="195" customFormat="1" ht="15" customHeight="1" x14ac:dyDescent="0.3">
      <c r="A59" s="136"/>
      <c r="B59" s="198">
        <v>43848</v>
      </c>
      <c r="C59" s="199" t="s">
        <v>326</v>
      </c>
      <c r="D59" s="200" t="s">
        <v>31</v>
      </c>
      <c r="E59" s="201" t="s">
        <v>308</v>
      </c>
      <c r="F59" s="199" t="s">
        <v>309</v>
      </c>
      <c r="G59" s="201" t="s">
        <v>137</v>
      </c>
      <c r="H59" s="201" t="s">
        <v>310</v>
      </c>
      <c r="I59" s="268" t="s">
        <v>97</v>
      </c>
      <c r="J59" s="249">
        <v>43849</v>
      </c>
      <c r="K59" s="198" t="s">
        <v>39</v>
      </c>
      <c r="L59" s="225">
        <v>620799</v>
      </c>
      <c r="M59" s="226" t="s">
        <v>20</v>
      </c>
    </row>
    <row r="60" spans="1:13" s="195" customFormat="1" ht="15" customHeight="1" x14ac:dyDescent="0.3">
      <c r="A60" s="136"/>
      <c r="B60" s="198">
        <v>43840</v>
      </c>
      <c r="C60" s="206" t="s">
        <v>147</v>
      </c>
      <c r="D60" s="200" t="s">
        <v>31</v>
      </c>
      <c r="E60" s="200" t="s">
        <v>148</v>
      </c>
      <c r="F60" s="199" t="s">
        <v>149</v>
      </c>
      <c r="G60" s="201" t="s">
        <v>137</v>
      </c>
      <c r="H60" s="201" t="s">
        <v>38</v>
      </c>
      <c r="I60" s="201" t="s">
        <v>97</v>
      </c>
      <c r="J60" s="198">
        <v>43842</v>
      </c>
      <c r="K60" s="198" t="s">
        <v>39</v>
      </c>
      <c r="L60" s="231">
        <v>618013</v>
      </c>
      <c r="M60" s="226" t="s">
        <v>19</v>
      </c>
    </row>
    <row r="61" spans="1:13" s="196" customFormat="1" ht="15" customHeight="1" x14ac:dyDescent="0.3">
      <c r="A61" s="136"/>
      <c r="B61" s="198">
        <v>43840</v>
      </c>
      <c r="C61" s="206" t="s">
        <v>150</v>
      </c>
      <c r="D61" s="200" t="s">
        <v>31</v>
      </c>
      <c r="E61" s="200" t="s">
        <v>148</v>
      </c>
      <c r="F61" s="199" t="s">
        <v>149</v>
      </c>
      <c r="G61" s="201" t="s">
        <v>116</v>
      </c>
      <c r="H61" s="201" t="s">
        <v>37</v>
      </c>
      <c r="I61" s="201" t="s">
        <v>97</v>
      </c>
      <c r="J61" s="198">
        <v>43842</v>
      </c>
      <c r="K61" s="198" t="s">
        <v>39</v>
      </c>
      <c r="L61" s="231">
        <v>4251945</v>
      </c>
      <c r="M61" s="226" t="s">
        <v>19</v>
      </c>
    </row>
    <row r="62" spans="1:13" s="196" customFormat="1" ht="16.2" hidden="1" x14ac:dyDescent="0.3">
      <c r="A62" s="136"/>
      <c r="B62" s="198"/>
      <c r="C62" s="199"/>
      <c r="D62" s="200"/>
      <c r="E62" s="200"/>
      <c r="F62" s="199"/>
      <c r="G62" s="201"/>
      <c r="H62" s="201"/>
      <c r="I62" s="201"/>
      <c r="J62" s="198"/>
      <c r="K62" s="198"/>
      <c r="L62" s="225"/>
      <c r="M62" s="226"/>
    </row>
    <row r="63" spans="1:13" s="196" customFormat="1" ht="16.2" hidden="1" x14ac:dyDescent="0.3">
      <c r="A63" s="136"/>
      <c r="B63" s="198"/>
      <c r="C63" s="228"/>
      <c r="D63" s="200"/>
      <c r="E63" s="200"/>
      <c r="F63" s="199"/>
      <c r="G63" s="201"/>
      <c r="H63" s="201"/>
      <c r="I63" s="201"/>
      <c r="J63" s="198"/>
      <c r="K63" s="198"/>
      <c r="L63" s="225"/>
      <c r="M63" s="226"/>
    </row>
    <row r="64" spans="1:13" s="196" customFormat="1" ht="15" customHeight="1" x14ac:dyDescent="0.3">
      <c r="A64" s="136"/>
      <c r="B64" s="198">
        <v>43841</v>
      </c>
      <c r="C64" s="199" t="s">
        <v>152</v>
      </c>
      <c r="D64" s="200" t="s">
        <v>31</v>
      </c>
      <c r="E64" s="200" t="s">
        <v>148</v>
      </c>
      <c r="F64" s="199" t="s">
        <v>149</v>
      </c>
      <c r="G64" s="201" t="s">
        <v>116</v>
      </c>
      <c r="H64" s="201" t="s">
        <v>37</v>
      </c>
      <c r="I64" s="201" t="s">
        <v>97</v>
      </c>
      <c r="J64" s="198" t="s">
        <v>153</v>
      </c>
      <c r="K64" s="198" t="s">
        <v>39</v>
      </c>
      <c r="L64" s="231">
        <v>4105646</v>
      </c>
      <c r="M64" s="226" t="s">
        <v>19</v>
      </c>
    </row>
    <row r="65" spans="1:13" s="196" customFormat="1" ht="15" customHeight="1" x14ac:dyDescent="0.3">
      <c r="A65" s="136"/>
      <c r="B65" s="198">
        <v>43858</v>
      </c>
      <c r="C65" s="252" t="s">
        <v>411</v>
      </c>
      <c r="D65" s="200" t="s">
        <v>31</v>
      </c>
      <c r="E65" s="224" t="s">
        <v>412</v>
      </c>
      <c r="F65" s="229" t="s">
        <v>149</v>
      </c>
      <c r="G65" s="224" t="s">
        <v>413</v>
      </c>
      <c r="H65" s="201" t="s">
        <v>372</v>
      </c>
      <c r="I65" s="268" t="s">
        <v>97</v>
      </c>
      <c r="J65" s="256">
        <v>43860</v>
      </c>
      <c r="K65" s="198" t="s">
        <v>33</v>
      </c>
      <c r="L65" s="231">
        <v>3214254</v>
      </c>
      <c r="M65" s="226" t="s">
        <v>19</v>
      </c>
    </row>
    <row r="66" spans="1:13" s="196" customFormat="1" ht="15" customHeight="1" x14ac:dyDescent="0.3">
      <c r="A66" s="136"/>
      <c r="B66" s="198">
        <v>43858</v>
      </c>
      <c r="C66" s="206" t="s">
        <v>414</v>
      </c>
      <c r="D66" s="200" t="s">
        <v>31</v>
      </c>
      <c r="E66" s="224" t="s">
        <v>412</v>
      </c>
      <c r="F66" s="229" t="s">
        <v>149</v>
      </c>
      <c r="G66" s="224" t="s">
        <v>413</v>
      </c>
      <c r="H66" s="201" t="s">
        <v>402</v>
      </c>
      <c r="I66" s="268" t="s">
        <v>97</v>
      </c>
      <c r="J66" s="256" t="s">
        <v>415</v>
      </c>
      <c r="K66" s="198" t="s">
        <v>33</v>
      </c>
      <c r="L66" s="231">
        <v>4498594</v>
      </c>
      <c r="M66" s="226" t="s">
        <v>19</v>
      </c>
    </row>
    <row r="67" spans="1:13" s="196" customFormat="1" ht="16.2" hidden="1" x14ac:dyDescent="0.3">
      <c r="A67" s="136"/>
      <c r="B67" s="198"/>
      <c r="C67" s="199"/>
      <c r="D67" s="200"/>
      <c r="E67" s="200"/>
      <c r="F67" s="199"/>
      <c r="G67" s="201"/>
      <c r="H67" s="201"/>
      <c r="I67" s="201"/>
      <c r="J67" s="198"/>
      <c r="K67" s="198"/>
      <c r="L67" s="225"/>
      <c r="M67" s="226"/>
    </row>
    <row r="68" spans="1:13" s="196" customFormat="1" ht="15" customHeight="1" x14ac:dyDescent="0.3">
      <c r="A68" s="136"/>
      <c r="B68" s="198">
        <v>43858</v>
      </c>
      <c r="C68" s="206" t="s">
        <v>416</v>
      </c>
      <c r="D68" s="200" t="s">
        <v>31</v>
      </c>
      <c r="E68" s="224" t="s">
        <v>412</v>
      </c>
      <c r="F68" s="229" t="s">
        <v>149</v>
      </c>
      <c r="G68" s="224" t="s">
        <v>413</v>
      </c>
      <c r="H68" s="201" t="s">
        <v>354</v>
      </c>
      <c r="I68" s="268" t="s">
        <v>97</v>
      </c>
      <c r="J68" s="256">
        <v>43860</v>
      </c>
      <c r="K68" s="198" t="s">
        <v>33</v>
      </c>
      <c r="L68" s="231">
        <v>2773473</v>
      </c>
      <c r="M68" s="226" t="s">
        <v>19</v>
      </c>
    </row>
    <row r="69" spans="1:13" s="196" customFormat="1" ht="15" customHeight="1" x14ac:dyDescent="0.3">
      <c r="A69" s="136"/>
      <c r="B69" s="198">
        <v>43833</v>
      </c>
      <c r="C69" s="199" t="s">
        <v>104</v>
      </c>
      <c r="D69" s="200" t="s">
        <v>31</v>
      </c>
      <c r="E69" s="224" t="s">
        <v>105</v>
      </c>
      <c r="F69" s="199" t="s">
        <v>106</v>
      </c>
      <c r="G69" s="201" t="s">
        <v>107</v>
      </c>
      <c r="H69" s="201" t="s">
        <v>32</v>
      </c>
      <c r="I69" s="201" t="s">
        <v>97</v>
      </c>
      <c r="J69" s="198">
        <v>43834</v>
      </c>
      <c r="K69" s="198" t="s">
        <v>33</v>
      </c>
      <c r="L69" s="225">
        <v>3306848</v>
      </c>
      <c r="M69" s="226" t="s">
        <v>19</v>
      </c>
    </row>
    <row r="70" spans="1:13" s="196" customFormat="1" ht="15" customHeight="1" x14ac:dyDescent="0.3">
      <c r="A70" s="136"/>
      <c r="B70" s="198">
        <v>43833</v>
      </c>
      <c r="C70" s="199" t="s">
        <v>108</v>
      </c>
      <c r="D70" s="200" t="s">
        <v>31</v>
      </c>
      <c r="E70" s="224" t="s">
        <v>105</v>
      </c>
      <c r="F70" s="199" t="s">
        <v>106</v>
      </c>
      <c r="G70" s="201" t="s">
        <v>107</v>
      </c>
      <c r="H70" s="201" t="s">
        <v>32</v>
      </c>
      <c r="I70" s="201" t="s">
        <v>97</v>
      </c>
      <c r="J70" s="198">
        <v>43834</v>
      </c>
      <c r="K70" s="198" t="s">
        <v>33</v>
      </c>
      <c r="L70" s="225">
        <v>3306848</v>
      </c>
      <c r="M70" s="226" t="s">
        <v>19</v>
      </c>
    </row>
    <row r="71" spans="1:13" s="196" customFormat="1" ht="15" customHeight="1" x14ac:dyDescent="0.3">
      <c r="A71" s="136"/>
      <c r="B71" s="198">
        <v>43839</v>
      </c>
      <c r="C71" s="199" t="s">
        <v>146</v>
      </c>
      <c r="D71" s="200" t="s">
        <v>31</v>
      </c>
      <c r="E71" s="224" t="s">
        <v>105</v>
      </c>
      <c r="F71" s="199" t="s">
        <v>106</v>
      </c>
      <c r="G71" s="201" t="s">
        <v>107</v>
      </c>
      <c r="H71" s="201" t="s">
        <v>32</v>
      </c>
      <c r="I71" s="201" t="s">
        <v>97</v>
      </c>
      <c r="J71" s="198">
        <v>43840</v>
      </c>
      <c r="K71" s="198" t="s">
        <v>33</v>
      </c>
      <c r="L71" s="225">
        <v>3306848</v>
      </c>
      <c r="M71" s="226" t="s">
        <v>19</v>
      </c>
    </row>
    <row r="72" spans="1:13" s="196" customFormat="1" ht="15" customHeight="1" x14ac:dyDescent="0.3">
      <c r="A72" s="136"/>
      <c r="B72" s="198">
        <v>43855</v>
      </c>
      <c r="C72" s="199" t="s">
        <v>231</v>
      </c>
      <c r="D72" s="200" t="s">
        <v>31</v>
      </c>
      <c r="E72" s="224" t="s">
        <v>105</v>
      </c>
      <c r="F72" s="199" t="s">
        <v>106</v>
      </c>
      <c r="G72" s="201" t="s">
        <v>107</v>
      </c>
      <c r="H72" s="201" t="s">
        <v>38</v>
      </c>
      <c r="I72" s="201" t="s">
        <v>97</v>
      </c>
      <c r="J72" s="238">
        <v>43857</v>
      </c>
      <c r="K72" s="198" t="s">
        <v>33</v>
      </c>
      <c r="L72" s="235">
        <v>3726193</v>
      </c>
      <c r="M72" s="226" t="s">
        <v>19</v>
      </c>
    </row>
    <row r="73" spans="1:13" s="196" customFormat="1" ht="15" customHeight="1" x14ac:dyDescent="0.3">
      <c r="A73" s="136"/>
      <c r="B73" s="198">
        <v>43855</v>
      </c>
      <c r="C73" s="199" t="s">
        <v>232</v>
      </c>
      <c r="D73" s="200" t="s">
        <v>31</v>
      </c>
      <c r="E73" s="224" t="s">
        <v>105</v>
      </c>
      <c r="F73" s="199" t="s">
        <v>106</v>
      </c>
      <c r="G73" s="201" t="s">
        <v>107</v>
      </c>
      <c r="H73" s="201" t="s">
        <v>38</v>
      </c>
      <c r="I73" s="201" t="s">
        <v>97</v>
      </c>
      <c r="J73" s="238">
        <v>43857</v>
      </c>
      <c r="K73" s="198" t="s">
        <v>33</v>
      </c>
      <c r="L73" s="235">
        <v>3726193</v>
      </c>
      <c r="M73" s="226" t="s">
        <v>19</v>
      </c>
    </row>
    <row r="74" spans="1:13" s="196" customFormat="1" ht="15" customHeight="1" x14ac:dyDescent="0.3">
      <c r="A74" s="136"/>
      <c r="B74" s="198">
        <v>43855</v>
      </c>
      <c r="C74" s="199" t="s">
        <v>104</v>
      </c>
      <c r="D74" s="200" t="s">
        <v>31</v>
      </c>
      <c r="E74" s="224" t="s">
        <v>105</v>
      </c>
      <c r="F74" s="199" t="s">
        <v>106</v>
      </c>
      <c r="G74" s="201" t="s">
        <v>107</v>
      </c>
      <c r="H74" s="201" t="s">
        <v>38</v>
      </c>
      <c r="I74" s="201" t="s">
        <v>97</v>
      </c>
      <c r="J74" s="238">
        <v>43857</v>
      </c>
      <c r="K74" s="198" t="s">
        <v>33</v>
      </c>
      <c r="L74" s="235">
        <v>3726193</v>
      </c>
      <c r="M74" s="226" t="s">
        <v>19</v>
      </c>
    </row>
    <row r="75" spans="1:13" s="196" customFormat="1" ht="15" customHeight="1" x14ac:dyDescent="0.3">
      <c r="A75" s="136"/>
      <c r="B75" s="198">
        <v>43858</v>
      </c>
      <c r="C75" s="199" t="s">
        <v>252</v>
      </c>
      <c r="D75" s="200" t="s">
        <v>31</v>
      </c>
      <c r="E75" s="200" t="s">
        <v>105</v>
      </c>
      <c r="F75" s="199" t="s">
        <v>106</v>
      </c>
      <c r="G75" s="201" t="s">
        <v>107</v>
      </c>
      <c r="H75" s="201" t="s">
        <v>38</v>
      </c>
      <c r="I75" s="201" t="s">
        <v>97</v>
      </c>
      <c r="J75" s="198">
        <v>43860</v>
      </c>
      <c r="K75" s="198" t="s">
        <v>33</v>
      </c>
      <c r="L75" s="227">
        <v>2455900</v>
      </c>
      <c r="M75" s="226" t="s">
        <v>19</v>
      </c>
    </row>
    <row r="76" spans="1:13" s="196" customFormat="1" ht="15" customHeight="1" x14ac:dyDescent="0.3">
      <c r="A76" s="136"/>
      <c r="B76" s="198">
        <v>43858</v>
      </c>
      <c r="C76" s="228" t="s">
        <v>253</v>
      </c>
      <c r="D76" s="200" t="s">
        <v>31</v>
      </c>
      <c r="E76" s="200" t="s">
        <v>105</v>
      </c>
      <c r="F76" s="199" t="s">
        <v>106</v>
      </c>
      <c r="G76" s="201" t="s">
        <v>107</v>
      </c>
      <c r="H76" s="201" t="s">
        <v>38</v>
      </c>
      <c r="I76" s="201" t="s">
        <v>97</v>
      </c>
      <c r="J76" s="198">
        <v>43860</v>
      </c>
      <c r="K76" s="198" t="s">
        <v>33</v>
      </c>
      <c r="L76" s="227">
        <v>2455900</v>
      </c>
      <c r="M76" s="226" t="s">
        <v>19</v>
      </c>
    </row>
    <row r="77" spans="1:13" s="196" customFormat="1" ht="15" customHeight="1" x14ac:dyDescent="0.3">
      <c r="A77" s="136"/>
      <c r="B77" s="198">
        <v>43858</v>
      </c>
      <c r="C77" s="228" t="s">
        <v>254</v>
      </c>
      <c r="D77" s="200" t="s">
        <v>31</v>
      </c>
      <c r="E77" s="200" t="s">
        <v>105</v>
      </c>
      <c r="F77" s="199" t="s">
        <v>106</v>
      </c>
      <c r="G77" s="201" t="s">
        <v>107</v>
      </c>
      <c r="H77" s="201" t="s">
        <v>38</v>
      </c>
      <c r="I77" s="201" t="s">
        <v>97</v>
      </c>
      <c r="J77" s="198">
        <v>43860</v>
      </c>
      <c r="K77" s="198" t="s">
        <v>33</v>
      </c>
      <c r="L77" s="227">
        <v>2455900</v>
      </c>
      <c r="M77" s="226" t="s">
        <v>19</v>
      </c>
    </row>
    <row r="78" spans="1:13" s="196" customFormat="1" ht="15" customHeight="1" x14ac:dyDescent="0.3">
      <c r="A78" s="136"/>
      <c r="B78" s="198">
        <v>43858</v>
      </c>
      <c r="C78" s="228" t="s">
        <v>255</v>
      </c>
      <c r="D78" s="200" t="s">
        <v>31</v>
      </c>
      <c r="E78" s="200" t="s">
        <v>105</v>
      </c>
      <c r="F78" s="199" t="s">
        <v>106</v>
      </c>
      <c r="G78" s="201" t="s">
        <v>107</v>
      </c>
      <c r="H78" s="201" t="s">
        <v>38</v>
      </c>
      <c r="I78" s="201" t="s">
        <v>97</v>
      </c>
      <c r="J78" s="198">
        <v>43860</v>
      </c>
      <c r="K78" s="198" t="s">
        <v>33</v>
      </c>
      <c r="L78" s="227">
        <v>2455900</v>
      </c>
      <c r="M78" s="226" t="s">
        <v>19</v>
      </c>
    </row>
    <row r="79" spans="1:13" s="196" customFormat="1" ht="15" customHeight="1" x14ac:dyDescent="0.3">
      <c r="A79" s="136"/>
      <c r="B79" s="198">
        <v>43858</v>
      </c>
      <c r="C79" s="199" t="s">
        <v>256</v>
      </c>
      <c r="D79" s="200" t="s">
        <v>31</v>
      </c>
      <c r="E79" s="200" t="s">
        <v>105</v>
      </c>
      <c r="F79" s="199" t="s">
        <v>106</v>
      </c>
      <c r="G79" s="201" t="s">
        <v>107</v>
      </c>
      <c r="H79" s="201" t="s">
        <v>38</v>
      </c>
      <c r="I79" s="201" t="s">
        <v>97</v>
      </c>
      <c r="J79" s="198">
        <v>43860</v>
      </c>
      <c r="K79" s="198" t="s">
        <v>33</v>
      </c>
      <c r="L79" s="227">
        <v>2455900</v>
      </c>
      <c r="M79" s="226" t="s">
        <v>19</v>
      </c>
    </row>
    <row r="80" spans="1:13" s="196" customFormat="1" ht="15" customHeight="1" x14ac:dyDescent="0.3">
      <c r="A80" s="136"/>
      <c r="B80" s="198">
        <v>43858</v>
      </c>
      <c r="C80" s="228" t="s">
        <v>257</v>
      </c>
      <c r="D80" s="200" t="s">
        <v>31</v>
      </c>
      <c r="E80" s="200" t="s">
        <v>105</v>
      </c>
      <c r="F80" s="199" t="s">
        <v>106</v>
      </c>
      <c r="G80" s="201" t="s">
        <v>107</v>
      </c>
      <c r="H80" s="201" t="s">
        <v>38</v>
      </c>
      <c r="I80" s="201" t="s">
        <v>97</v>
      </c>
      <c r="J80" s="198">
        <v>43860</v>
      </c>
      <c r="K80" s="198" t="s">
        <v>33</v>
      </c>
      <c r="L80" s="227">
        <v>2455900</v>
      </c>
      <c r="M80" s="226" t="s">
        <v>19</v>
      </c>
    </row>
    <row r="81" spans="1:13" s="196" customFormat="1" ht="15" customHeight="1" x14ac:dyDescent="0.3">
      <c r="A81" s="136"/>
      <c r="B81" s="198">
        <v>43858</v>
      </c>
      <c r="C81" s="228" t="s">
        <v>258</v>
      </c>
      <c r="D81" s="200" t="s">
        <v>31</v>
      </c>
      <c r="E81" s="200" t="s">
        <v>105</v>
      </c>
      <c r="F81" s="199" t="s">
        <v>106</v>
      </c>
      <c r="G81" s="201" t="s">
        <v>107</v>
      </c>
      <c r="H81" s="201" t="s">
        <v>38</v>
      </c>
      <c r="I81" s="201" t="s">
        <v>97</v>
      </c>
      <c r="J81" s="198">
        <v>43860</v>
      </c>
      <c r="K81" s="198" t="s">
        <v>33</v>
      </c>
      <c r="L81" s="227">
        <v>2455900</v>
      </c>
      <c r="M81" s="226" t="s">
        <v>19</v>
      </c>
    </row>
    <row r="82" spans="1:13" s="196" customFormat="1" ht="15" customHeight="1" x14ac:dyDescent="0.3">
      <c r="A82" s="136"/>
      <c r="B82" s="198">
        <v>43858</v>
      </c>
      <c r="C82" s="228" t="s">
        <v>259</v>
      </c>
      <c r="D82" s="200" t="s">
        <v>31</v>
      </c>
      <c r="E82" s="200" t="s">
        <v>105</v>
      </c>
      <c r="F82" s="199" t="s">
        <v>106</v>
      </c>
      <c r="G82" s="201" t="s">
        <v>107</v>
      </c>
      <c r="H82" s="201" t="s">
        <v>38</v>
      </c>
      <c r="I82" s="201" t="s">
        <v>97</v>
      </c>
      <c r="J82" s="198">
        <v>43860</v>
      </c>
      <c r="K82" s="198" t="s">
        <v>33</v>
      </c>
      <c r="L82" s="227">
        <v>2455900</v>
      </c>
      <c r="M82" s="226" t="s">
        <v>19</v>
      </c>
    </row>
    <row r="83" spans="1:13" s="196" customFormat="1" ht="15" customHeight="1" x14ac:dyDescent="0.3">
      <c r="A83" s="136"/>
      <c r="B83" s="198">
        <v>43858</v>
      </c>
      <c r="C83" s="199" t="s">
        <v>260</v>
      </c>
      <c r="D83" s="200" t="s">
        <v>31</v>
      </c>
      <c r="E83" s="200" t="s">
        <v>105</v>
      </c>
      <c r="F83" s="199" t="s">
        <v>106</v>
      </c>
      <c r="G83" s="201" t="s">
        <v>107</v>
      </c>
      <c r="H83" s="201" t="s">
        <v>38</v>
      </c>
      <c r="I83" s="201" t="s">
        <v>97</v>
      </c>
      <c r="J83" s="198">
        <v>43860</v>
      </c>
      <c r="K83" s="198" t="s">
        <v>33</v>
      </c>
      <c r="L83" s="227">
        <v>2455900</v>
      </c>
      <c r="M83" s="226" t="s">
        <v>19</v>
      </c>
    </row>
    <row r="84" spans="1:13" s="196" customFormat="1" ht="15" customHeight="1" x14ac:dyDescent="0.3">
      <c r="A84" s="136"/>
      <c r="B84" s="198">
        <v>43858</v>
      </c>
      <c r="C84" s="228" t="s">
        <v>261</v>
      </c>
      <c r="D84" s="200" t="s">
        <v>31</v>
      </c>
      <c r="E84" s="200" t="s">
        <v>105</v>
      </c>
      <c r="F84" s="199" t="s">
        <v>106</v>
      </c>
      <c r="G84" s="201" t="s">
        <v>107</v>
      </c>
      <c r="H84" s="201" t="s">
        <v>38</v>
      </c>
      <c r="I84" s="201" t="s">
        <v>97</v>
      </c>
      <c r="J84" s="198">
        <v>43860</v>
      </c>
      <c r="K84" s="236" t="s">
        <v>33</v>
      </c>
      <c r="L84" s="227">
        <v>2455900</v>
      </c>
      <c r="M84" s="226" t="s">
        <v>19</v>
      </c>
    </row>
    <row r="85" spans="1:13" s="196" customFormat="1" ht="15" customHeight="1" x14ac:dyDescent="0.3">
      <c r="A85" s="136"/>
      <c r="B85" s="198">
        <v>43858</v>
      </c>
      <c r="C85" s="199" t="s">
        <v>262</v>
      </c>
      <c r="D85" s="200" t="s">
        <v>31</v>
      </c>
      <c r="E85" s="200" t="s">
        <v>105</v>
      </c>
      <c r="F85" s="199" t="s">
        <v>106</v>
      </c>
      <c r="G85" s="201" t="s">
        <v>107</v>
      </c>
      <c r="H85" s="201" t="s">
        <v>38</v>
      </c>
      <c r="I85" s="201" t="s">
        <v>97</v>
      </c>
      <c r="J85" s="198">
        <v>43860</v>
      </c>
      <c r="K85" s="236" t="s">
        <v>33</v>
      </c>
      <c r="L85" s="227">
        <v>2455900</v>
      </c>
      <c r="M85" s="226" t="s">
        <v>19</v>
      </c>
    </row>
    <row r="86" spans="1:13" s="196" customFormat="1" ht="16.2" hidden="1" x14ac:dyDescent="0.3">
      <c r="A86" s="136"/>
      <c r="B86" s="198"/>
      <c r="C86" s="199"/>
      <c r="D86" s="200"/>
      <c r="E86" s="200"/>
      <c r="F86" s="199"/>
      <c r="G86" s="201"/>
      <c r="H86" s="201"/>
      <c r="I86" s="201"/>
      <c r="J86" s="198"/>
      <c r="K86" s="198"/>
      <c r="L86" s="225"/>
      <c r="M86" s="226"/>
    </row>
    <row r="87" spans="1:13" s="196" customFormat="1" ht="15" customHeight="1" x14ac:dyDescent="0.3">
      <c r="A87" s="136"/>
      <c r="B87" s="198">
        <v>43858</v>
      </c>
      <c r="C87" s="228" t="s">
        <v>263</v>
      </c>
      <c r="D87" s="200" t="s">
        <v>31</v>
      </c>
      <c r="E87" s="200" t="s">
        <v>105</v>
      </c>
      <c r="F87" s="199" t="s">
        <v>106</v>
      </c>
      <c r="G87" s="201" t="s">
        <v>107</v>
      </c>
      <c r="H87" s="201" t="s">
        <v>38</v>
      </c>
      <c r="I87" s="201" t="s">
        <v>97</v>
      </c>
      <c r="J87" s="198">
        <v>43860</v>
      </c>
      <c r="K87" s="198" t="s">
        <v>33</v>
      </c>
      <c r="L87" s="227">
        <v>2455900</v>
      </c>
      <c r="M87" s="226" t="s">
        <v>19</v>
      </c>
    </row>
    <row r="88" spans="1:13" s="197" customFormat="1" ht="15" customHeight="1" x14ac:dyDescent="0.3">
      <c r="A88" s="136"/>
      <c r="B88" s="198">
        <v>43858</v>
      </c>
      <c r="C88" s="228" t="s">
        <v>264</v>
      </c>
      <c r="D88" s="200" t="s">
        <v>31</v>
      </c>
      <c r="E88" s="200" t="s">
        <v>105</v>
      </c>
      <c r="F88" s="199" t="s">
        <v>106</v>
      </c>
      <c r="G88" s="201" t="s">
        <v>107</v>
      </c>
      <c r="H88" s="201" t="s">
        <v>38</v>
      </c>
      <c r="I88" s="201" t="s">
        <v>97</v>
      </c>
      <c r="J88" s="198">
        <v>43860</v>
      </c>
      <c r="K88" s="198" t="s">
        <v>33</v>
      </c>
      <c r="L88" s="227">
        <v>2455900</v>
      </c>
      <c r="M88" s="226" t="s">
        <v>19</v>
      </c>
    </row>
    <row r="89" spans="1:13" s="197" customFormat="1" ht="15" customHeight="1" x14ac:dyDescent="0.3">
      <c r="A89" s="136"/>
      <c r="B89" s="198">
        <v>43858</v>
      </c>
      <c r="C89" s="228" t="s">
        <v>265</v>
      </c>
      <c r="D89" s="200" t="s">
        <v>31</v>
      </c>
      <c r="E89" s="200" t="s">
        <v>105</v>
      </c>
      <c r="F89" s="199" t="s">
        <v>106</v>
      </c>
      <c r="G89" s="201" t="s">
        <v>107</v>
      </c>
      <c r="H89" s="201" t="s">
        <v>38</v>
      </c>
      <c r="I89" s="201" t="s">
        <v>97</v>
      </c>
      <c r="J89" s="198">
        <v>43860</v>
      </c>
      <c r="K89" s="198" t="s">
        <v>33</v>
      </c>
      <c r="L89" s="227">
        <v>2455900</v>
      </c>
      <c r="M89" s="226" t="s">
        <v>19</v>
      </c>
    </row>
    <row r="90" spans="1:13" s="197" customFormat="1" ht="15" customHeight="1" x14ac:dyDescent="0.3">
      <c r="A90" s="136"/>
      <c r="B90" s="198">
        <v>43858</v>
      </c>
      <c r="C90" s="228" t="s">
        <v>266</v>
      </c>
      <c r="D90" s="200" t="s">
        <v>31</v>
      </c>
      <c r="E90" s="200" t="s">
        <v>105</v>
      </c>
      <c r="F90" s="199" t="s">
        <v>106</v>
      </c>
      <c r="G90" s="201" t="s">
        <v>107</v>
      </c>
      <c r="H90" s="201" t="s">
        <v>38</v>
      </c>
      <c r="I90" s="201" t="s">
        <v>97</v>
      </c>
      <c r="J90" s="198">
        <v>43860</v>
      </c>
      <c r="K90" s="198" t="s">
        <v>33</v>
      </c>
      <c r="L90" s="227">
        <v>2455900</v>
      </c>
      <c r="M90" s="226" t="s">
        <v>19</v>
      </c>
    </row>
    <row r="91" spans="1:13" s="197" customFormat="1" ht="15" customHeight="1" x14ac:dyDescent="0.3">
      <c r="A91" s="136"/>
      <c r="B91" s="198">
        <v>43858</v>
      </c>
      <c r="C91" s="228" t="s">
        <v>267</v>
      </c>
      <c r="D91" s="200" t="s">
        <v>31</v>
      </c>
      <c r="E91" s="200" t="s">
        <v>105</v>
      </c>
      <c r="F91" s="199" t="s">
        <v>106</v>
      </c>
      <c r="G91" s="201" t="s">
        <v>107</v>
      </c>
      <c r="H91" s="201" t="s">
        <v>38</v>
      </c>
      <c r="I91" s="201" t="s">
        <v>97</v>
      </c>
      <c r="J91" s="198">
        <v>43860</v>
      </c>
      <c r="K91" s="198" t="s">
        <v>33</v>
      </c>
      <c r="L91" s="227">
        <v>2455900</v>
      </c>
      <c r="M91" s="226" t="s">
        <v>19</v>
      </c>
    </row>
    <row r="92" spans="1:13" s="197" customFormat="1" ht="15" hidden="1" customHeight="1" x14ac:dyDescent="0.3">
      <c r="A92" s="136"/>
      <c r="B92" s="198"/>
      <c r="C92" s="199"/>
      <c r="D92" s="200"/>
      <c r="E92" s="201"/>
      <c r="F92" s="201"/>
      <c r="G92" s="201"/>
      <c r="H92" s="201"/>
      <c r="I92" s="201"/>
      <c r="J92" s="198"/>
      <c r="K92" s="198"/>
      <c r="L92" s="225"/>
      <c r="M92" s="226"/>
    </row>
    <row r="93" spans="1:13" s="197" customFormat="1" ht="15" hidden="1" customHeight="1" x14ac:dyDescent="0.3">
      <c r="A93" s="136"/>
      <c r="B93" s="198"/>
      <c r="C93" s="199"/>
      <c r="D93" s="200"/>
      <c r="E93" s="201"/>
      <c r="F93" s="201"/>
      <c r="G93" s="201"/>
      <c r="H93" s="201"/>
      <c r="I93" s="201"/>
      <c r="J93" s="198"/>
      <c r="K93" s="198"/>
      <c r="L93" s="225"/>
      <c r="M93" s="226"/>
    </row>
    <row r="94" spans="1:13" s="194" customFormat="1" ht="15" hidden="1" customHeight="1" x14ac:dyDescent="0.3">
      <c r="A94" s="136"/>
      <c r="B94" s="198"/>
      <c r="C94" s="199"/>
      <c r="D94" s="200"/>
      <c r="E94" s="201"/>
      <c r="F94" s="201"/>
      <c r="G94" s="201"/>
      <c r="H94" s="201"/>
      <c r="I94" s="201"/>
      <c r="J94" s="198"/>
      <c r="K94" s="198"/>
      <c r="L94" s="225"/>
      <c r="M94" s="226"/>
    </row>
    <row r="95" spans="1:13" s="197" customFormat="1" ht="15" hidden="1" customHeight="1" x14ac:dyDescent="0.3">
      <c r="A95" s="136"/>
      <c r="B95" s="198"/>
      <c r="C95" s="199"/>
      <c r="D95" s="200"/>
      <c r="E95" s="201"/>
      <c r="F95" s="201"/>
      <c r="G95" s="201"/>
      <c r="H95" s="201"/>
      <c r="I95" s="201"/>
      <c r="J95" s="198"/>
      <c r="K95" s="198"/>
      <c r="L95" s="225"/>
      <c r="M95" s="226"/>
    </row>
    <row r="96" spans="1:13" s="197" customFormat="1" ht="15" hidden="1" customHeight="1" x14ac:dyDescent="0.3">
      <c r="A96" s="136"/>
      <c r="B96" s="198"/>
      <c r="C96" s="199"/>
      <c r="D96" s="200"/>
      <c r="E96" s="201"/>
      <c r="F96" s="201"/>
      <c r="G96" s="201"/>
      <c r="H96" s="201"/>
      <c r="I96" s="201"/>
      <c r="J96" s="198"/>
      <c r="K96" s="198"/>
      <c r="L96" s="225"/>
      <c r="M96" s="226"/>
    </row>
    <row r="97" spans="1:13" s="194" customFormat="1" ht="15" hidden="1" customHeight="1" x14ac:dyDescent="0.3">
      <c r="A97" s="136"/>
      <c r="B97" s="198"/>
      <c r="C97" s="206"/>
      <c r="D97" s="200"/>
      <c r="E97" s="201"/>
      <c r="F97" s="201"/>
      <c r="G97" s="201"/>
      <c r="H97" s="201"/>
      <c r="I97" s="201"/>
      <c r="J97" s="198"/>
      <c r="K97" s="198"/>
      <c r="L97" s="231"/>
      <c r="M97" s="226"/>
    </row>
    <row r="98" spans="1:13" s="194" customFormat="1" ht="15" hidden="1" customHeight="1" x14ac:dyDescent="0.3">
      <c r="A98" s="136"/>
      <c r="B98" s="198"/>
      <c r="C98" s="199"/>
      <c r="D98" s="200"/>
      <c r="E98" s="201"/>
      <c r="F98" s="199"/>
      <c r="G98" s="201"/>
      <c r="H98" s="201"/>
      <c r="I98" s="201"/>
      <c r="J98" s="198"/>
      <c r="K98" s="201"/>
      <c r="L98" s="232"/>
      <c r="M98" s="226"/>
    </row>
    <row r="99" spans="1:13" s="194" customFormat="1" ht="15" hidden="1" customHeight="1" x14ac:dyDescent="0.3">
      <c r="A99" s="136"/>
      <c r="B99" s="198"/>
      <c r="C99" s="228"/>
      <c r="D99" s="200"/>
      <c r="E99" s="201"/>
      <c r="F99" s="199"/>
      <c r="G99" s="201"/>
      <c r="H99" s="224"/>
      <c r="I99" s="201"/>
      <c r="J99" s="198"/>
      <c r="K99" s="198"/>
      <c r="L99" s="234"/>
      <c r="M99" s="226"/>
    </row>
    <row r="100" spans="1:13" s="194" customFormat="1" ht="15" hidden="1" customHeight="1" x14ac:dyDescent="0.3">
      <c r="A100" s="136"/>
      <c r="B100" s="198"/>
      <c r="C100" s="200"/>
      <c r="D100" s="200"/>
      <c r="E100" s="201"/>
      <c r="F100" s="199"/>
      <c r="G100" s="201"/>
      <c r="H100" s="224"/>
      <c r="I100" s="201"/>
      <c r="J100" s="198"/>
      <c r="K100" s="201"/>
      <c r="L100" s="234"/>
      <c r="M100" s="226"/>
    </row>
    <row r="101" spans="1:13" s="197" customFormat="1" ht="15" hidden="1" customHeight="1" x14ac:dyDescent="0.3">
      <c r="A101" s="136"/>
      <c r="B101" s="198"/>
      <c r="C101" s="200"/>
      <c r="D101" s="200"/>
      <c r="E101" s="201"/>
      <c r="F101" s="199"/>
      <c r="G101" s="201"/>
      <c r="H101" s="224"/>
      <c r="I101" s="224"/>
      <c r="J101" s="198"/>
      <c r="K101" s="201"/>
      <c r="L101" s="234"/>
      <c r="M101" s="226"/>
    </row>
    <row r="102" spans="1:13" s="197" customFormat="1" ht="15" customHeight="1" x14ac:dyDescent="0.3">
      <c r="A102" s="136"/>
      <c r="B102" s="198">
        <v>43834</v>
      </c>
      <c r="C102" s="199" t="s">
        <v>299</v>
      </c>
      <c r="D102" s="200" t="s">
        <v>31</v>
      </c>
      <c r="E102" s="201" t="s">
        <v>300</v>
      </c>
      <c r="F102" s="199" t="s">
        <v>175</v>
      </c>
      <c r="G102" s="201" t="s">
        <v>301</v>
      </c>
      <c r="H102" s="201" t="s">
        <v>302</v>
      </c>
      <c r="I102" s="268" t="s">
        <v>97</v>
      </c>
      <c r="J102" s="242">
        <v>43840</v>
      </c>
      <c r="K102" s="198" t="s">
        <v>39</v>
      </c>
      <c r="L102" s="225">
        <v>2725842</v>
      </c>
      <c r="M102" s="226" t="s">
        <v>20</v>
      </c>
    </row>
    <row r="103" spans="1:13" s="197" customFormat="1" ht="15" customHeight="1" x14ac:dyDescent="0.3">
      <c r="A103" s="136"/>
      <c r="B103" s="198">
        <v>43836</v>
      </c>
      <c r="C103" s="199" t="s">
        <v>299</v>
      </c>
      <c r="D103" s="200" t="s">
        <v>31</v>
      </c>
      <c r="E103" s="201" t="s">
        <v>300</v>
      </c>
      <c r="F103" s="199" t="s">
        <v>175</v>
      </c>
      <c r="G103" s="201" t="s">
        <v>137</v>
      </c>
      <c r="H103" s="201" t="s">
        <v>306</v>
      </c>
      <c r="I103" s="268" t="s">
        <v>97</v>
      </c>
      <c r="J103" s="242">
        <v>43840</v>
      </c>
      <c r="K103" s="198" t="s">
        <v>39</v>
      </c>
      <c r="L103" s="225">
        <v>1021538</v>
      </c>
      <c r="M103" s="226" t="s">
        <v>20</v>
      </c>
    </row>
    <row r="104" spans="1:13" s="197" customFormat="1" ht="15" customHeight="1" x14ac:dyDescent="0.3">
      <c r="A104" s="136"/>
      <c r="B104" s="198">
        <v>43848</v>
      </c>
      <c r="C104" s="200" t="s">
        <v>339</v>
      </c>
      <c r="D104" s="200" t="s">
        <v>31</v>
      </c>
      <c r="E104" s="200" t="s">
        <v>340</v>
      </c>
      <c r="F104" s="199" t="s">
        <v>341</v>
      </c>
      <c r="G104" s="201" t="s">
        <v>301</v>
      </c>
      <c r="H104" s="201" t="s">
        <v>342</v>
      </c>
      <c r="I104" s="268" t="s">
        <v>51</v>
      </c>
      <c r="J104" s="242">
        <v>43850</v>
      </c>
      <c r="K104" s="200" t="s">
        <v>33</v>
      </c>
      <c r="L104" s="270">
        <v>3040441</v>
      </c>
      <c r="M104" s="226" t="s">
        <v>20</v>
      </c>
    </row>
    <row r="105" spans="1:13" s="197" customFormat="1" ht="15" customHeight="1" x14ac:dyDescent="0.3">
      <c r="A105" s="136"/>
      <c r="B105" s="198">
        <v>43850</v>
      </c>
      <c r="C105" s="200" t="s">
        <v>339</v>
      </c>
      <c r="D105" s="200" t="s">
        <v>31</v>
      </c>
      <c r="E105" s="200" t="s">
        <v>340</v>
      </c>
      <c r="F105" s="199" t="s">
        <v>341</v>
      </c>
      <c r="G105" s="201" t="s">
        <v>137</v>
      </c>
      <c r="H105" s="201" t="s">
        <v>343</v>
      </c>
      <c r="I105" s="268" t="s">
        <v>51</v>
      </c>
      <c r="J105" s="242">
        <v>43851</v>
      </c>
      <c r="K105" s="198" t="s">
        <v>33</v>
      </c>
      <c r="L105" s="271">
        <v>847208</v>
      </c>
      <c r="M105" s="226" t="s">
        <v>20</v>
      </c>
    </row>
    <row r="106" spans="1:13" s="197" customFormat="1" ht="15" customHeight="1" x14ac:dyDescent="0.3">
      <c r="A106" s="136"/>
      <c r="B106" s="198">
        <v>43851</v>
      </c>
      <c r="C106" s="199" t="s">
        <v>349</v>
      </c>
      <c r="D106" s="200" t="s">
        <v>31</v>
      </c>
      <c r="E106" s="200" t="s">
        <v>340</v>
      </c>
      <c r="F106" s="200" t="s">
        <v>341</v>
      </c>
      <c r="G106" s="201" t="s">
        <v>301</v>
      </c>
      <c r="H106" s="201" t="s">
        <v>342</v>
      </c>
      <c r="I106" s="268" t="s">
        <v>51</v>
      </c>
      <c r="J106" s="242">
        <v>43853</v>
      </c>
      <c r="K106" s="198" t="s">
        <v>33</v>
      </c>
      <c r="L106" s="270">
        <v>11037069</v>
      </c>
      <c r="M106" s="226" t="s">
        <v>20</v>
      </c>
    </row>
    <row r="107" spans="1:13" s="197" customFormat="1" ht="15" customHeight="1" x14ac:dyDescent="0.3">
      <c r="A107" s="136"/>
      <c r="B107" s="198">
        <v>43845</v>
      </c>
      <c r="C107" s="206" t="s">
        <v>373</v>
      </c>
      <c r="D107" s="200" t="s">
        <v>31</v>
      </c>
      <c r="E107" s="224" t="s">
        <v>340</v>
      </c>
      <c r="F107" s="199" t="s">
        <v>374</v>
      </c>
      <c r="G107" s="201" t="s">
        <v>301</v>
      </c>
      <c r="H107" s="201" t="s">
        <v>375</v>
      </c>
      <c r="I107" s="268" t="s">
        <v>97</v>
      </c>
      <c r="J107" s="199" t="s">
        <v>376</v>
      </c>
      <c r="K107" s="198" t="s">
        <v>33</v>
      </c>
      <c r="L107" s="272">
        <v>4939376</v>
      </c>
      <c r="M107" s="226" t="s">
        <v>20</v>
      </c>
    </row>
    <row r="108" spans="1:13" s="197" customFormat="1" ht="15" customHeight="1" x14ac:dyDescent="0.3">
      <c r="A108" s="136"/>
      <c r="B108" s="198">
        <v>43845</v>
      </c>
      <c r="C108" s="243" t="s">
        <v>377</v>
      </c>
      <c r="D108" s="200" t="s">
        <v>31</v>
      </c>
      <c r="E108" s="224" t="s">
        <v>340</v>
      </c>
      <c r="F108" s="199" t="s">
        <v>374</v>
      </c>
      <c r="G108" s="201" t="s">
        <v>301</v>
      </c>
      <c r="H108" s="201" t="s">
        <v>375</v>
      </c>
      <c r="I108" s="268" t="s">
        <v>97</v>
      </c>
      <c r="J108" s="199" t="s">
        <v>376</v>
      </c>
      <c r="K108" s="198" t="s">
        <v>33</v>
      </c>
      <c r="L108" s="272">
        <v>4939376</v>
      </c>
      <c r="M108" s="226" t="s">
        <v>20</v>
      </c>
    </row>
    <row r="109" spans="1:13" s="196" customFormat="1" ht="15" customHeight="1" x14ac:dyDescent="0.3">
      <c r="A109" s="136"/>
      <c r="B109" s="198">
        <v>43845</v>
      </c>
      <c r="C109" s="206" t="s">
        <v>378</v>
      </c>
      <c r="D109" s="200" t="s">
        <v>31</v>
      </c>
      <c r="E109" s="224" t="s">
        <v>340</v>
      </c>
      <c r="F109" s="201" t="s">
        <v>374</v>
      </c>
      <c r="G109" s="201" t="s">
        <v>301</v>
      </c>
      <c r="H109" s="201" t="s">
        <v>375</v>
      </c>
      <c r="I109" s="268" t="s">
        <v>97</v>
      </c>
      <c r="J109" s="199" t="s">
        <v>376</v>
      </c>
      <c r="K109" s="198" t="s">
        <v>33</v>
      </c>
      <c r="L109" s="272">
        <v>4939376</v>
      </c>
      <c r="M109" s="226" t="s">
        <v>20</v>
      </c>
    </row>
    <row r="110" spans="1:13" s="196" customFormat="1" ht="15" customHeight="1" x14ac:dyDescent="0.3">
      <c r="A110" s="136"/>
      <c r="B110" s="198">
        <v>43845</v>
      </c>
      <c r="C110" s="206" t="s">
        <v>379</v>
      </c>
      <c r="D110" s="200" t="s">
        <v>31</v>
      </c>
      <c r="E110" s="224" t="s">
        <v>340</v>
      </c>
      <c r="F110" s="201" t="s">
        <v>374</v>
      </c>
      <c r="G110" s="201" t="s">
        <v>301</v>
      </c>
      <c r="H110" s="201" t="s">
        <v>375</v>
      </c>
      <c r="I110" s="268" t="s">
        <v>97</v>
      </c>
      <c r="J110" s="199" t="s">
        <v>376</v>
      </c>
      <c r="K110" s="198" t="s">
        <v>33</v>
      </c>
      <c r="L110" s="272">
        <v>4939376</v>
      </c>
      <c r="M110" s="226" t="s">
        <v>20</v>
      </c>
    </row>
    <row r="111" spans="1:13" s="196" customFormat="1" ht="15" customHeight="1" x14ac:dyDescent="0.3">
      <c r="A111" s="136"/>
      <c r="B111" s="198">
        <v>43845</v>
      </c>
      <c r="C111" s="206" t="s">
        <v>380</v>
      </c>
      <c r="D111" s="200" t="s">
        <v>31</v>
      </c>
      <c r="E111" s="224" t="s">
        <v>340</v>
      </c>
      <c r="F111" s="201" t="s">
        <v>381</v>
      </c>
      <c r="G111" s="224" t="s">
        <v>382</v>
      </c>
      <c r="H111" s="201" t="s">
        <v>383</v>
      </c>
      <c r="I111" s="201" t="s">
        <v>85</v>
      </c>
      <c r="J111" s="199" t="s">
        <v>41</v>
      </c>
      <c r="K111" s="198" t="s">
        <v>33</v>
      </c>
      <c r="L111" s="272">
        <v>3431044</v>
      </c>
      <c r="M111" s="226" t="s">
        <v>20</v>
      </c>
    </row>
    <row r="112" spans="1:13" s="196" customFormat="1" ht="15" customHeight="1" x14ac:dyDescent="0.3">
      <c r="A112" s="136"/>
      <c r="B112" s="198">
        <v>43845</v>
      </c>
      <c r="C112" s="252" t="s">
        <v>384</v>
      </c>
      <c r="D112" s="200" t="s">
        <v>31</v>
      </c>
      <c r="E112" s="224" t="s">
        <v>340</v>
      </c>
      <c r="F112" s="199" t="s">
        <v>381</v>
      </c>
      <c r="G112" s="224" t="s">
        <v>382</v>
      </c>
      <c r="H112" s="224" t="s">
        <v>383</v>
      </c>
      <c r="I112" s="201" t="s">
        <v>85</v>
      </c>
      <c r="J112" s="201" t="s">
        <v>41</v>
      </c>
      <c r="K112" s="198" t="s">
        <v>33</v>
      </c>
      <c r="L112" s="272">
        <v>3431044</v>
      </c>
      <c r="M112" s="226" t="s">
        <v>20</v>
      </c>
    </row>
    <row r="113" spans="1:13" s="196" customFormat="1" ht="15" customHeight="1" x14ac:dyDescent="0.3">
      <c r="A113" s="136"/>
      <c r="B113" s="198">
        <v>43845</v>
      </c>
      <c r="C113" s="252" t="s">
        <v>385</v>
      </c>
      <c r="D113" s="200" t="s">
        <v>31</v>
      </c>
      <c r="E113" s="224" t="s">
        <v>340</v>
      </c>
      <c r="F113" s="199" t="s">
        <v>381</v>
      </c>
      <c r="G113" s="224" t="s">
        <v>382</v>
      </c>
      <c r="H113" s="224" t="s">
        <v>383</v>
      </c>
      <c r="I113" s="201" t="s">
        <v>85</v>
      </c>
      <c r="J113" s="201" t="s">
        <v>41</v>
      </c>
      <c r="K113" s="198" t="s">
        <v>33</v>
      </c>
      <c r="L113" s="272">
        <v>3431044</v>
      </c>
      <c r="M113" s="226" t="s">
        <v>20</v>
      </c>
    </row>
    <row r="114" spans="1:13" s="196" customFormat="1" ht="15" customHeight="1" x14ac:dyDescent="0.3">
      <c r="A114" s="136"/>
      <c r="B114" s="198">
        <v>43845</v>
      </c>
      <c r="C114" s="206" t="s">
        <v>380</v>
      </c>
      <c r="D114" s="200" t="s">
        <v>31</v>
      </c>
      <c r="E114" s="224" t="s">
        <v>340</v>
      </c>
      <c r="F114" s="199" t="s">
        <v>381</v>
      </c>
      <c r="G114" s="224" t="s">
        <v>382</v>
      </c>
      <c r="H114" s="224" t="s">
        <v>386</v>
      </c>
      <c r="I114" s="201" t="s">
        <v>85</v>
      </c>
      <c r="J114" s="201" t="s">
        <v>41</v>
      </c>
      <c r="K114" s="198" t="s">
        <v>322</v>
      </c>
      <c r="L114" s="272">
        <v>1985716</v>
      </c>
      <c r="M114" s="226" t="s">
        <v>20</v>
      </c>
    </row>
    <row r="115" spans="1:13" s="197" customFormat="1" ht="15" customHeight="1" x14ac:dyDescent="0.3">
      <c r="A115" s="136"/>
      <c r="B115" s="198">
        <v>43845</v>
      </c>
      <c r="C115" s="206" t="s">
        <v>384</v>
      </c>
      <c r="D115" s="200" t="s">
        <v>31</v>
      </c>
      <c r="E115" s="224" t="s">
        <v>340</v>
      </c>
      <c r="F115" s="199" t="s">
        <v>381</v>
      </c>
      <c r="G115" s="224" t="s">
        <v>382</v>
      </c>
      <c r="H115" s="224" t="s">
        <v>386</v>
      </c>
      <c r="I115" s="201" t="s">
        <v>85</v>
      </c>
      <c r="J115" s="199" t="s">
        <v>41</v>
      </c>
      <c r="K115" s="198" t="s">
        <v>322</v>
      </c>
      <c r="L115" s="272">
        <v>1985716</v>
      </c>
      <c r="M115" s="226" t="s">
        <v>20</v>
      </c>
    </row>
    <row r="116" spans="1:13" s="197" customFormat="1" ht="15" customHeight="1" x14ac:dyDescent="0.3">
      <c r="A116" s="136"/>
      <c r="B116" s="198">
        <v>43845</v>
      </c>
      <c r="C116" s="206" t="s">
        <v>385</v>
      </c>
      <c r="D116" s="200" t="s">
        <v>31</v>
      </c>
      <c r="E116" s="224" t="s">
        <v>340</v>
      </c>
      <c r="F116" s="199" t="s">
        <v>381</v>
      </c>
      <c r="G116" s="224" t="s">
        <v>382</v>
      </c>
      <c r="H116" s="224" t="s">
        <v>386</v>
      </c>
      <c r="I116" s="201" t="s">
        <v>85</v>
      </c>
      <c r="J116" s="199" t="s">
        <v>41</v>
      </c>
      <c r="K116" s="198" t="s">
        <v>322</v>
      </c>
      <c r="L116" s="272">
        <v>1985716</v>
      </c>
      <c r="M116" s="226" t="s">
        <v>20</v>
      </c>
    </row>
    <row r="117" spans="1:13" s="197" customFormat="1" ht="15" customHeight="1" x14ac:dyDescent="0.3">
      <c r="A117" s="136"/>
      <c r="B117" s="198">
        <v>43846</v>
      </c>
      <c r="C117" s="206" t="s">
        <v>390</v>
      </c>
      <c r="D117" s="200" t="s">
        <v>31</v>
      </c>
      <c r="E117" s="224" t="s">
        <v>340</v>
      </c>
      <c r="F117" s="199" t="s">
        <v>381</v>
      </c>
      <c r="G117" s="201" t="s">
        <v>301</v>
      </c>
      <c r="H117" s="201" t="s">
        <v>361</v>
      </c>
      <c r="I117" s="268" t="s">
        <v>97</v>
      </c>
      <c r="J117" s="201" t="s">
        <v>391</v>
      </c>
      <c r="K117" s="198" t="s">
        <v>33</v>
      </c>
      <c r="L117" s="272">
        <v>6738778</v>
      </c>
      <c r="M117" s="226" t="s">
        <v>20</v>
      </c>
    </row>
    <row r="118" spans="1:13" s="197" customFormat="1" ht="15" customHeight="1" x14ac:dyDescent="0.3">
      <c r="A118" s="136"/>
      <c r="B118" s="198">
        <v>43834</v>
      </c>
      <c r="C118" s="206" t="s">
        <v>357</v>
      </c>
      <c r="D118" s="200" t="s">
        <v>31</v>
      </c>
      <c r="E118" s="224" t="s">
        <v>358</v>
      </c>
      <c r="F118" s="201" t="s">
        <v>359</v>
      </c>
      <c r="G118" s="224" t="s">
        <v>360</v>
      </c>
      <c r="H118" s="201" t="s">
        <v>361</v>
      </c>
      <c r="I118" s="268" t="s">
        <v>97</v>
      </c>
      <c r="J118" s="199" t="s">
        <v>362</v>
      </c>
      <c r="K118" s="198" t="s">
        <v>39</v>
      </c>
      <c r="L118" s="272">
        <v>5937161</v>
      </c>
      <c r="M118" s="226" t="s">
        <v>19</v>
      </c>
    </row>
    <row r="119" spans="1:13" s="197" customFormat="1" ht="15" customHeight="1" x14ac:dyDescent="0.3">
      <c r="A119" s="136"/>
      <c r="B119" s="198">
        <v>43838</v>
      </c>
      <c r="C119" s="206" t="s">
        <v>363</v>
      </c>
      <c r="D119" s="200" t="s">
        <v>31</v>
      </c>
      <c r="E119" s="224" t="s">
        <v>358</v>
      </c>
      <c r="F119" s="201" t="s">
        <v>359</v>
      </c>
      <c r="G119" s="224" t="s">
        <v>360</v>
      </c>
      <c r="H119" s="201" t="s">
        <v>361</v>
      </c>
      <c r="I119" s="268" t="s">
        <v>97</v>
      </c>
      <c r="J119" s="199" t="s">
        <v>362</v>
      </c>
      <c r="K119" s="198" t="s">
        <v>39</v>
      </c>
      <c r="L119" s="247">
        <v>6716571</v>
      </c>
      <c r="M119" s="226" t="s">
        <v>19</v>
      </c>
    </row>
    <row r="120" spans="1:13" s="197" customFormat="1" ht="15" customHeight="1" x14ac:dyDescent="0.3">
      <c r="A120" s="136"/>
      <c r="B120" s="198">
        <v>43851</v>
      </c>
      <c r="C120" s="206" t="s">
        <v>395</v>
      </c>
      <c r="D120" s="200" t="s">
        <v>31</v>
      </c>
      <c r="E120" s="224" t="s">
        <v>358</v>
      </c>
      <c r="F120" s="201" t="s">
        <v>359</v>
      </c>
      <c r="G120" s="224" t="s">
        <v>353</v>
      </c>
      <c r="H120" s="201" t="s">
        <v>372</v>
      </c>
      <c r="I120" s="268" t="s">
        <v>97</v>
      </c>
      <c r="J120" s="256">
        <v>43852</v>
      </c>
      <c r="K120" s="198" t="s">
        <v>39</v>
      </c>
      <c r="L120" s="247">
        <v>8209604</v>
      </c>
      <c r="M120" s="226" t="s">
        <v>19</v>
      </c>
    </row>
    <row r="121" spans="1:13" s="197" customFormat="1" ht="15" customHeight="1" x14ac:dyDescent="0.3">
      <c r="A121" s="136"/>
      <c r="B121" s="198">
        <v>43857</v>
      </c>
      <c r="C121" s="199" t="s">
        <v>395</v>
      </c>
      <c r="D121" s="200" t="s">
        <v>31</v>
      </c>
      <c r="E121" s="224" t="s">
        <v>358</v>
      </c>
      <c r="F121" s="201" t="s">
        <v>359</v>
      </c>
      <c r="G121" s="201" t="s">
        <v>304</v>
      </c>
      <c r="H121" s="201" t="s">
        <v>410</v>
      </c>
      <c r="I121" s="268" t="s">
        <v>97</v>
      </c>
      <c r="J121" s="256">
        <v>43860</v>
      </c>
      <c r="K121" s="198" t="s">
        <v>39</v>
      </c>
      <c r="L121" s="259">
        <v>7508630</v>
      </c>
      <c r="M121" s="226" t="s">
        <v>19</v>
      </c>
    </row>
    <row r="122" spans="1:13" s="197" customFormat="1" ht="15" customHeight="1" x14ac:dyDescent="0.3">
      <c r="A122" s="136"/>
      <c r="B122" s="198">
        <v>43859</v>
      </c>
      <c r="C122" s="199" t="s">
        <v>424</v>
      </c>
      <c r="D122" s="200" t="s">
        <v>31</v>
      </c>
      <c r="E122" s="200" t="s">
        <v>425</v>
      </c>
      <c r="F122" s="201" t="s">
        <v>426</v>
      </c>
      <c r="G122" s="201" t="s">
        <v>301</v>
      </c>
      <c r="H122" s="201" t="s">
        <v>402</v>
      </c>
      <c r="I122" s="268" t="s">
        <v>97</v>
      </c>
      <c r="J122" s="256" t="s">
        <v>427</v>
      </c>
      <c r="K122" s="198" t="s">
        <v>39</v>
      </c>
      <c r="L122" s="225">
        <v>4613124</v>
      </c>
      <c r="M122" s="226" t="s">
        <v>20</v>
      </c>
    </row>
    <row r="123" spans="1:13" s="197" customFormat="1" ht="15" customHeight="1" x14ac:dyDescent="0.3">
      <c r="A123" s="136"/>
      <c r="B123" s="198">
        <v>43845</v>
      </c>
      <c r="C123" s="199" t="s">
        <v>164</v>
      </c>
      <c r="D123" s="200" t="s">
        <v>31</v>
      </c>
      <c r="E123" s="200" t="s">
        <v>165</v>
      </c>
      <c r="F123" s="199" t="s">
        <v>166</v>
      </c>
      <c r="G123" s="201" t="s">
        <v>167</v>
      </c>
      <c r="H123" s="201" t="s">
        <v>32</v>
      </c>
      <c r="I123" s="201" t="s">
        <v>97</v>
      </c>
      <c r="J123" s="198">
        <v>43845</v>
      </c>
      <c r="K123" s="198" t="s">
        <v>33</v>
      </c>
      <c r="L123" s="232">
        <v>3317935</v>
      </c>
      <c r="M123" s="226" t="s">
        <v>19</v>
      </c>
    </row>
    <row r="124" spans="1:13" s="197" customFormat="1" ht="15" customHeight="1" x14ac:dyDescent="0.3">
      <c r="A124" s="136"/>
      <c r="B124" s="198">
        <v>43845</v>
      </c>
      <c r="C124" s="199" t="s">
        <v>168</v>
      </c>
      <c r="D124" s="200" t="s">
        <v>31</v>
      </c>
      <c r="E124" s="200" t="s">
        <v>165</v>
      </c>
      <c r="F124" s="199" t="s">
        <v>166</v>
      </c>
      <c r="G124" s="201" t="s">
        <v>167</v>
      </c>
      <c r="H124" s="201" t="s">
        <v>32</v>
      </c>
      <c r="I124" s="201" t="s">
        <v>97</v>
      </c>
      <c r="J124" s="198">
        <v>43845</v>
      </c>
      <c r="K124" s="198" t="s">
        <v>33</v>
      </c>
      <c r="L124" s="232">
        <v>3317935</v>
      </c>
      <c r="M124" s="226" t="s">
        <v>19</v>
      </c>
    </row>
    <row r="125" spans="1:13" s="197" customFormat="1" ht="15" customHeight="1" x14ac:dyDescent="0.3">
      <c r="A125" s="136"/>
      <c r="B125" s="198">
        <v>43845</v>
      </c>
      <c r="C125" s="199" t="s">
        <v>169</v>
      </c>
      <c r="D125" s="200" t="s">
        <v>31</v>
      </c>
      <c r="E125" s="200" t="s">
        <v>165</v>
      </c>
      <c r="F125" s="199" t="s">
        <v>166</v>
      </c>
      <c r="G125" s="201" t="s">
        <v>167</v>
      </c>
      <c r="H125" s="201" t="s">
        <v>32</v>
      </c>
      <c r="I125" s="201" t="s">
        <v>97</v>
      </c>
      <c r="J125" s="198">
        <v>43845</v>
      </c>
      <c r="K125" s="198" t="s">
        <v>33</v>
      </c>
      <c r="L125" s="233">
        <v>3317935</v>
      </c>
      <c r="M125" s="226" t="s">
        <v>19</v>
      </c>
    </row>
    <row r="126" spans="1:13" s="197" customFormat="1" ht="15" customHeight="1" x14ac:dyDescent="0.3">
      <c r="A126" s="136"/>
      <c r="B126" s="198">
        <v>43845</v>
      </c>
      <c r="C126" s="199" t="s">
        <v>170</v>
      </c>
      <c r="D126" s="200" t="s">
        <v>31</v>
      </c>
      <c r="E126" s="200" t="s">
        <v>165</v>
      </c>
      <c r="F126" s="199" t="s">
        <v>166</v>
      </c>
      <c r="G126" s="201" t="s">
        <v>167</v>
      </c>
      <c r="H126" s="201" t="s">
        <v>32</v>
      </c>
      <c r="I126" s="201" t="s">
        <v>97</v>
      </c>
      <c r="J126" s="198">
        <v>43845</v>
      </c>
      <c r="K126" s="198" t="s">
        <v>33</v>
      </c>
      <c r="L126" s="227">
        <v>3317935</v>
      </c>
      <c r="M126" s="226" t="s">
        <v>19</v>
      </c>
    </row>
    <row r="127" spans="1:13" s="197" customFormat="1" ht="15" customHeight="1" x14ac:dyDescent="0.3">
      <c r="A127" s="136"/>
      <c r="B127" s="198">
        <v>43845</v>
      </c>
      <c r="C127" s="199" t="s">
        <v>171</v>
      </c>
      <c r="D127" s="200" t="s">
        <v>31</v>
      </c>
      <c r="E127" s="200" t="s">
        <v>165</v>
      </c>
      <c r="F127" s="199" t="s">
        <v>166</v>
      </c>
      <c r="G127" s="201" t="s">
        <v>167</v>
      </c>
      <c r="H127" s="201" t="s">
        <v>32</v>
      </c>
      <c r="I127" s="201" t="s">
        <v>97</v>
      </c>
      <c r="J127" s="198">
        <v>43845</v>
      </c>
      <c r="K127" s="198" t="s">
        <v>33</v>
      </c>
      <c r="L127" s="227">
        <v>2487019</v>
      </c>
      <c r="M127" s="226" t="s">
        <v>19</v>
      </c>
    </row>
    <row r="128" spans="1:13" s="197" customFormat="1" ht="15" customHeight="1" x14ac:dyDescent="0.3">
      <c r="A128" s="136"/>
      <c r="B128" s="198">
        <v>43845</v>
      </c>
      <c r="C128" s="199" t="s">
        <v>172</v>
      </c>
      <c r="D128" s="200" t="s">
        <v>31</v>
      </c>
      <c r="E128" s="200" t="s">
        <v>165</v>
      </c>
      <c r="F128" s="199" t="s">
        <v>166</v>
      </c>
      <c r="G128" s="201" t="s">
        <v>167</v>
      </c>
      <c r="H128" s="201" t="s">
        <v>32</v>
      </c>
      <c r="I128" s="201" t="s">
        <v>97</v>
      </c>
      <c r="J128" s="198">
        <v>43845</v>
      </c>
      <c r="K128" s="198" t="s">
        <v>33</v>
      </c>
      <c r="L128" s="227">
        <v>2487019</v>
      </c>
      <c r="M128" s="226" t="s">
        <v>19</v>
      </c>
    </row>
    <row r="129" spans="1:13" s="197" customFormat="1" ht="15" customHeight="1" x14ac:dyDescent="0.3">
      <c r="A129" s="136"/>
      <c r="B129" s="198">
        <v>43848</v>
      </c>
      <c r="C129" s="199" t="s">
        <v>187</v>
      </c>
      <c r="D129" s="200" t="s">
        <v>31</v>
      </c>
      <c r="E129" s="200" t="s">
        <v>165</v>
      </c>
      <c r="F129" s="199" t="s">
        <v>166</v>
      </c>
      <c r="G129" s="201" t="s">
        <v>167</v>
      </c>
      <c r="H129" s="201" t="s">
        <v>32</v>
      </c>
      <c r="I129" s="201" t="s">
        <v>97</v>
      </c>
      <c r="J129" s="198">
        <v>43850</v>
      </c>
      <c r="K129" s="198" t="s">
        <v>39</v>
      </c>
      <c r="L129" s="227">
        <v>2737019</v>
      </c>
      <c r="M129" s="226" t="s">
        <v>19</v>
      </c>
    </row>
    <row r="130" spans="1:13" s="194" customFormat="1" ht="15" customHeight="1" x14ac:dyDescent="0.3">
      <c r="A130" s="136"/>
      <c r="B130" s="198">
        <v>43848</v>
      </c>
      <c r="C130" s="199" t="s">
        <v>188</v>
      </c>
      <c r="D130" s="200" t="s">
        <v>31</v>
      </c>
      <c r="E130" s="200" t="s">
        <v>165</v>
      </c>
      <c r="F130" s="199" t="s">
        <v>166</v>
      </c>
      <c r="G130" s="201" t="s">
        <v>167</v>
      </c>
      <c r="H130" s="201" t="s">
        <v>32</v>
      </c>
      <c r="I130" s="201" t="s">
        <v>97</v>
      </c>
      <c r="J130" s="198">
        <v>43850</v>
      </c>
      <c r="K130" s="198" t="s">
        <v>39</v>
      </c>
      <c r="L130" s="227">
        <v>2737019</v>
      </c>
      <c r="M130" s="226" t="s">
        <v>19</v>
      </c>
    </row>
    <row r="131" spans="1:13" s="197" customFormat="1" ht="15" customHeight="1" x14ac:dyDescent="0.3">
      <c r="A131" s="136"/>
      <c r="B131" s="198">
        <v>43854</v>
      </c>
      <c r="C131" s="199" t="s">
        <v>187</v>
      </c>
      <c r="D131" s="200" t="s">
        <v>31</v>
      </c>
      <c r="E131" s="200" t="s">
        <v>165</v>
      </c>
      <c r="F131" s="199" t="s">
        <v>166</v>
      </c>
      <c r="G131" s="201" t="s">
        <v>167</v>
      </c>
      <c r="H131" s="201" t="s">
        <v>38</v>
      </c>
      <c r="I131" s="201" t="s">
        <v>97</v>
      </c>
      <c r="J131" s="198">
        <v>43855</v>
      </c>
      <c r="K131" s="198" t="s">
        <v>39</v>
      </c>
      <c r="L131" s="227">
        <v>2455900</v>
      </c>
      <c r="M131" s="226" t="s">
        <v>19</v>
      </c>
    </row>
    <row r="132" spans="1:13" s="197" customFormat="1" ht="15" customHeight="1" x14ac:dyDescent="0.3">
      <c r="A132" s="136"/>
      <c r="B132" s="198">
        <v>43851</v>
      </c>
      <c r="C132" s="199" t="s">
        <v>203</v>
      </c>
      <c r="D132" s="200" t="s">
        <v>31</v>
      </c>
      <c r="E132" s="224" t="s">
        <v>158</v>
      </c>
      <c r="F132" s="199" t="s">
        <v>204</v>
      </c>
      <c r="G132" s="201" t="s">
        <v>116</v>
      </c>
      <c r="H132" s="201" t="s">
        <v>35</v>
      </c>
      <c r="I132" s="201" t="s">
        <v>97</v>
      </c>
      <c r="J132" s="198" t="s">
        <v>205</v>
      </c>
      <c r="K132" s="198" t="s">
        <v>33</v>
      </c>
      <c r="L132" s="235">
        <v>5759340</v>
      </c>
      <c r="M132" s="226" t="s">
        <v>20</v>
      </c>
    </row>
    <row r="133" spans="1:13" s="194" customFormat="1" ht="15" customHeight="1" x14ac:dyDescent="0.3">
      <c r="A133" s="136"/>
      <c r="B133" s="198">
        <v>43859</v>
      </c>
      <c r="C133" s="199" t="s">
        <v>283</v>
      </c>
      <c r="D133" s="200" t="s">
        <v>31</v>
      </c>
      <c r="E133" s="224" t="s">
        <v>114</v>
      </c>
      <c r="F133" s="201" t="s">
        <v>115</v>
      </c>
      <c r="G133" s="201" t="s">
        <v>116</v>
      </c>
      <c r="H133" s="201" t="s">
        <v>35</v>
      </c>
      <c r="I133" s="201" t="s">
        <v>97</v>
      </c>
      <c r="J133" s="198" t="s">
        <v>284</v>
      </c>
      <c r="K133" s="198" t="s">
        <v>33</v>
      </c>
      <c r="L133" s="225">
        <v>6202294</v>
      </c>
      <c r="M133" s="226" t="s">
        <v>20</v>
      </c>
    </row>
    <row r="134" spans="1:13" s="194" customFormat="1" ht="15" customHeight="1" x14ac:dyDescent="0.3">
      <c r="A134" s="136"/>
      <c r="B134" s="198">
        <v>43859</v>
      </c>
      <c r="C134" s="206" t="s">
        <v>289</v>
      </c>
      <c r="D134" s="200" t="s">
        <v>31</v>
      </c>
      <c r="E134" s="224" t="s">
        <v>114</v>
      </c>
      <c r="F134" s="201" t="s">
        <v>115</v>
      </c>
      <c r="G134" s="201" t="s">
        <v>116</v>
      </c>
      <c r="H134" s="201" t="s">
        <v>35</v>
      </c>
      <c r="I134" s="201" t="s">
        <v>97</v>
      </c>
      <c r="J134" s="198" t="s">
        <v>284</v>
      </c>
      <c r="K134" s="198" t="s">
        <v>33</v>
      </c>
      <c r="L134" s="225">
        <v>6202294</v>
      </c>
      <c r="M134" s="226" t="s">
        <v>20</v>
      </c>
    </row>
    <row r="135" spans="1:13" s="197" customFormat="1" ht="15" customHeight="1" x14ac:dyDescent="0.3">
      <c r="A135" s="136"/>
      <c r="B135" s="198">
        <v>43834</v>
      </c>
      <c r="C135" s="206" t="s">
        <v>350</v>
      </c>
      <c r="D135" s="200" t="s">
        <v>31</v>
      </c>
      <c r="E135" s="224" t="s">
        <v>351</v>
      </c>
      <c r="F135" s="199" t="s">
        <v>352</v>
      </c>
      <c r="G135" s="224" t="s">
        <v>353</v>
      </c>
      <c r="H135" s="201" t="s">
        <v>354</v>
      </c>
      <c r="I135" s="268" t="s">
        <v>97</v>
      </c>
      <c r="J135" s="198">
        <v>43834</v>
      </c>
      <c r="K135" s="198" t="s">
        <v>33</v>
      </c>
      <c r="L135" s="247">
        <v>2624301</v>
      </c>
      <c r="M135" s="226" t="s">
        <v>20</v>
      </c>
    </row>
    <row r="136" spans="1:13" s="197" customFormat="1" ht="15" customHeight="1" x14ac:dyDescent="0.3">
      <c r="A136" s="136"/>
      <c r="B136" s="198">
        <v>43834</v>
      </c>
      <c r="C136" s="206" t="s">
        <v>355</v>
      </c>
      <c r="D136" s="200" t="s">
        <v>31</v>
      </c>
      <c r="E136" s="224" t="s">
        <v>351</v>
      </c>
      <c r="F136" s="199" t="s">
        <v>352</v>
      </c>
      <c r="G136" s="224" t="s">
        <v>353</v>
      </c>
      <c r="H136" s="201" t="s">
        <v>354</v>
      </c>
      <c r="I136" s="268" t="s">
        <v>97</v>
      </c>
      <c r="J136" s="198">
        <v>43834</v>
      </c>
      <c r="K136" s="198" t="s">
        <v>33</v>
      </c>
      <c r="L136" s="247">
        <v>2624301</v>
      </c>
      <c r="M136" s="226" t="s">
        <v>20</v>
      </c>
    </row>
    <row r="137" spans="1:13" s="197" customFormat="1" ht="15" customHeight="1" x14ac:dyDescent="0.3">
      <c r="A137" s="136"/>
      <c r="B137" s="198">
        <v>43834</v>
      </c>
      <c r="C137" s="206" t="s">
        <v>356</v>
      </c>
      <c r="D137" s="200" t="s">
        <v>31</v>
      </c>
      <c r="E137" s="224" t="s">
        <v>351</v>
      </c>
      <c r="F137" s="199" t="s">
        <v>352</v>
      </c>
      <c r="G137" s="224" t="s">
        <v>353</v>
      </c>
      <c r="H137" s="201" t="s">
        <v>354</v>
      </c>
      <c r="I137" s="268" t="s">
        <v>97</v>
      </c>
      <c r="J137" s="198">
        <v>43834</v>
      </c>
      <c r="K137" s="198" t="s">
        <v>33</v>
      </c>
      <c r="L137" s="247">
        <v>2624301</v>
      </c>
      <c r="M137" s="226" t="s">
        <v>20</v>
      </c>
    </row>
    <row r="138" spans="1:13" s="197" customFormat="1" ht="15" customHeight="1" x14ac:dyDescent="0.3">
      <c r="A138" s="136"/>
      <c r="B138" s="198">
        <v>43853</v>
      </c>
      <c r="C138" s="228" t="s">
        <v>398</v>
      </c>
      <c r="D138" s="200" t="s">
        <v>31</v>
      </c>
      <c r="E138" s="224" t="s">
        <v>351</v>
      </c>
      <c r="F138" s="199" t="s">
        <v>399</v>
      </c>
      <c r="G138" s="224" t="s">
        <v>353</v>
      </c>
      <c r="H138" s="201" t="s">
        <v>372</v>
      </c>
      <c r="I138" s="268" t="s">
        <v>97</v>
      </c>
      <c r="J138" s="256">
        <v>43854</v>
      </c>
      <c r="K138" s="198" t="s">
        <v>33</v>
      </c>
      <c r="L138" s="227">
        <v>3314354</v>
      </c>
      <c r="M138" s="226" t="s">
        <v>20</v>
      </c>
    </row>
    <row r="139" spans="1:13" ht="15" customHeight="1" x14ac:dyDescent="0.3">
      <c r="B139" s="198">
        <v>43839</v>
      </c>
      <c r="C139" s="206" t="s">
        <v>364</v>
      </c>
      <c r="D139" s="200" t="s">
        <v>31</v>
      </c>
      <c r="E139" s="224" t="s">
        <v>365</v>
      </c>
      <c r="F139" s="199" t="s">
        <v>366</v>
      </c>
      <c r="G139" s="224" t="s">
        <v>367</v>
      </c>
      <c r="H139" s="201" t="s">
        <v>368</v>
      </c>
      <c r="I139" s="241" t="s">
        <v>81</v>
      </c>
      <c r="J139" s="198">
        <v>43841</v>
      </c>
      <c r="K139" s="198" t="s">
        <v>33</v>
      </c>
      <c r="L139" s="247">
        <v>1347331</v>
      </c>
      <c r="M139" s="226" t="s">
        <v>20</v>
      </c>
    </row>
    <row r="140" spans="1:13" ht="15" customHeight="1" x14ac:dyDescent="0.3">
      <c r="B140" s="198">
        <v>43845</v>
      </c>
      <c r="C140" s="252" t="s">
        <v>371</v>
      </c>
      <c r="D140" s="200" t="s">
        <v>31</v>
      </c>
      <c r="E140" s="224" t="s">
        <v>365</v>
      </c>
      <c r="F140" s="199" t="s">
        <v>366</v>
      </c>
      <c r="G140" s="224" t="s">
        <v>353</v>
      </c>
      <c r="H140" s="201" t="s">
        <v>372</v>
      </c>
      <c r="I140" s="268" t="s">
        <v>97</v>
      </c>
      <c r="J140" s="253">
        <v>43846</v>
      </c>
      <c r="K140" s="198" t="s">
        <v>33</v>
      </c>
      <c r="L140" s="247">
        <v>2962000</v>
      </c>
      <c r="M140" s="226" t="s">
        <v>20</v>
      </c>
    </row>
    <row r="141" spans="1:13" ht="15" customHeight="1" x14ac:dyDescent="0.3">
      <c r="B141" s="198">
        <v>43845</v>
      </c>
      <c r="C141" s="206" t="s">
        <v>387</v>
      </c>
      <c r="D141" s="200" t="s">
        <v>31</v>
      </c>
      <c r="E141" s="224" t="s">
        <v>365</v>
      </c>
      <c r="F141" s="201" t="s">
        <v>388</v>
      </c>
      <c r="G141" s="201" t="s">
        <v>304</v>
      </c>
      <c r="H141" s="201" t="s">
        <v>354</v>
      </c>
      <c r="I141" s="268" t="s">
        <v>97</v>
      </c>
      <c r="J141" s="254">
        <v>43846</v>
      </c>
      <c r="K141" s="201" t="s">
        <v>33</v>
      </c>
      <c r="L141" s="247">
        <v>2463946</v>
      </c>
      <c r="M141" s="226" t="s">
        <v>20</v>
      </c>
    </row>
    <row r="142" spans="1:13" ht="15" customHeight="1" x14ac:dyDescent="0.3">
      <c r="B142" s="198">
        <v>43845</v>
      </c>
      <c r="C142" s="206" t="s">
        <v>389</v>
      </c>
      <c r="D142" s="200" t="s">
        <v>31</v>
      </c>
      <c r="E142" s="224" t="s">
        <v>365</v>
      </c>
      <c r="F142" s="201" t="s">
        <v>388</v>
      </c>
      <c r="G142" s="201" t="s">
        <v>304</v>
      </c>
      <c r="H142" s="201" t="s">
        <v>354</v>
      </c>
      <c r="I142" s="268" t="s">
        <v>97</v>
      </c>
      <c r="J142" s="253">
        <v>43846</v>
      </c>
      <c r="K142" s="198" t="s">
        <v>33</v>
      </c>
      <c r="L142" s="247">
        <v>2463946</v>
      </c>
      <c r="M142" s="226" t="s">
        <v>20</v>
      </c>
    </row>
    <row r="143" spans="1:13" ht="15" customHeight="1" x14ac:dyDescent="0.3">
      <c r="B143" s="198">
        <v>43850</v>
      </c>
      <c r="C143" s="206" t="s">
        <v>392</v>
      </c>
      <c r="D143" s="200" t="s">
        <v>31</v>
      </c>
      <c r="E143" s="224" t="s">
        <v>365</v>
      </c>
      <c r="F143" s="199" t="s">
        <v>366</v>
      </c>
      <c r="G143" s="224" t="s">
        <v>353</v>
      </c>
      <c r="H143" s="201" t="s">
        <v>372</v>
      </c>
      <c r="I143" s="268" t="s">
        <v>97</v>
      </c>
      <c r="J143" s="255">
        <v>43851</v>
      </c>
      <c r="K143" s="198" t="s">
        <v>33</v>
      </c>
      <c r="L143" s="247">
        <v>3317935</v>
      </c>
      <c r="M143" s="226" t="s">
        <v>19</v>
      </c>
    </row>
    <row r="144" spans="1:13" ht="15" customHeight="1" x14ac:dyDescent="0.3">
      <c r="B144" s="198">
        <v>43850</v>
      </c>
      <c r="C144" s="206" t="s">
        <v>393</v>
      </c>
      <c r="D144" s="200" t="s">
        <v>31</v>
      </c>
      <c r="E144" s="224" t="s">
        <v>365</v>
      </c>
      <c r="F144" s="199" t="s">
        <v>366</v>
      </c>
      <c r="G144" s="224" t="s">
        <v>353</v>
      </c>
      <c r="H144" s="201" t="s">
        <v>372</v>
      </c>
      <c r="I144" s="268" t="s">
        <v>97</v>
      </c>
      <c r="J144" s="255">
        <v>43851</v>
      </c>
      <c r="K144" s="198" t="s">
        <v>33</v>
      </c>
      <c r="L144" s="247">
        <v>3317935</v>
      </c>
      <c r="M144" s="226" t="s">
        <v>19</v>
      </c>
    </row>
    <row r="145" spans="2:13" ht="15" customHeight="1" x14ac:dyDescent="0.3">
      <c r="B145" s="198">
        <v>43851</v>
      </c>
      <c r="C145" s="206" t="s">
        <v>394</v>
      </c>
      <c r="D145" s="200" t="s">
        <v>31</v>
      </c>
      <c r="E145" s="224" t="s">
        <v>365</v>
      </c>
      <c r="F145" s="199" t="s">
        <v>366</v>
      </c>
      <c r="G145" s="224" t="s">
        <v>353</v>
      </c>
      <c r="H145" s="201" t="s">
        <v>372</v>
      </c>
      <c r="I145" s="268" t="s">
        <v>97</v>
      </c>
      <c r="J145" s="256">
        <v>43852</v>
      </c>
      <c r="K145" s="198" t="s">
        <v>33</v>
      </c>
      <c r="L145" s="247">
        <v>3317935</v>
      </c>
      <c r="M145" s="226" t="s">
        <v>19</v>
      </c>
    </row>
    <row r="146" spans="2:13" ht="15" customHeight="1" x14ac:dyDescent="0.3">
      <c r="B146" s="198">
        <v>43852</v>
      </c>
      <c r="C146" s="199" t="s">
        <v>394</v>
      </c>
      <c r="D146" s="200" t="s">
        <v>31</v>
      </c>
      <c r="E146" s="224" t="s">
        <v>365</v>
      </c>
      <c r="F146" s="199" t="s">
        <v>366</v>
      </c>
      <c r="G146" s="224" t="s">
        <v>367</v>
      </c>
      <c r="H146" s="201" t="s">
        <v>396</v>
      </c>
      <c r="I146" s="241" t="s">
        <v>81</v>
      </c>
      <c r="J146" s="256">
        <v>43852</v>
      </c>
      <c r="K146" s="198" t="s">
        <v>33</v>
      </c>
      <c r="L146" s="225">
        <v>762176</v>
      </c>
      <c r="M146" s="226" t="s">
        <v>19</v>
      </c>
    </row>
    <row r="147" spans="2:13" ht="15" customHeight="1" x14ac:dyDescent="0.3">
      <c r="B147" s="198">
        <v>43852</v>
      </c>
      <c r="C147" s="257" t="s">
        <v>397</v>
      </c>
      <c r="D147" s="200" t="s">
        <v>31</v>
      </c>
      <c r="E147" s="224" t="s">
        <v>365</v>
      </c>
      <c r="F147" s="199" t="s">
        <v>366</v>
      </c>
      <c r="G147" s="224" t="s">
        <v>367</v>
      </c>
      <c r="H147" s="201" t="s">
        <v>396</v>
      </c>
      <c r="I147" s="241" t="s">
        <v>81</v>
      </c>
      <c r="J147" s="256">
        <v>43852</v>
      </c>
      <c r="K147" s="198" t="s">
        <v>33</v>
      </c>
      <c r="L147" s="225">
        <v>603390</v>
      </c>
      <c r="M147" s="226" t="s">
        <v>19</v>
      </c>
    </row>
    <row r="148" spans="2:13" ht="15" customHeight="1" x14ac:dyDescent="0.3">
      <c r="B148" s="198">
        <v>43852</v>
      </c>
      <c r="C148" s="199" t="s">
        <v>393</v>
      </c>
      <c r="D148" s="200" t="s">
        <v>31</v>
      </c>
      <c r="E148" s="224" t="s">
        <v>365</v>
      </c>
      <c r="F148" s="199" t="s">
        <v>366</v>
      </c>
      <c r="G148" s="224" t="s">
        <v>367</v>
      </c>
      <c r="H148" s="201" t="s">
        <v>396</v>
      </c>
      <c r="I148" s="241" t="s">
        <v>81</v>
      </c>
      <c r="J148" s="256">
        <v>43852</v>
      </c>
      <c r="K148" s="198" t="s">
        <v>33</v>
      </c>
      <c r="L148" s="225">
        <v>603390</v>
      </c>
      <c r="M148" s="226" t="s">
        <v>19</v>
      </c>
    </row>
    <row r="149" spans="2:13" ht="15" customHeight="1" x14ac:dyDescent="0.3">
      <c r="B149" s="198">
        <v>43858</v>
      </c>
      <c r="C149" s="206" t="s">
        <v>417</v>
      </c>
      <c r="D149" s="200" t="s">
        <v>31</v>
      </c>
      <c r="E149" s="224" t="s">
        <v>365</v>
      </c>
      <c r="F149" s="201" t="s">
        <v>418</v>
      </c>
      <c r="G149" s="224" t="s">
        <v>419</v>
      </c>
      <c r="H149" s="201" t="s">
        <v>420</v>
      </c>
      <c r="I149" s="268" t="s">
        <v>84</v>
      </c>
      <c r="J149" s="256" t="s">
        <v>421</v>
      </c>
      <c r="K149" s="198" t="s">
        <v>33</v>
      </c>
      <c r="L149" s="231">
        <v>1936254</v>
      </c>
      <c r="M149" s="226" t="s">
        <v>19</v>
      </c>
    </row>
    <row r="150" spans="2:13" ht="15" customHeight="1" x14ac:dyDescent="0.3">
      <c r="B150" s="198">
        <v>43859</v>
      </c>
      <c r="C150" s="206" t="s">
        <v>417</v>
      </c>
      <c r="D150" s="200" t="s">
        <v>31</v>
      </c>
      <c r="E150" s="224" t="s">
        <v>365</v>
      </c>
      <c r="F150" s="201" t="s">
        <v>418</v>
      </c>
      <c r="G150" s="201" t="s">
        <v>137</v>
      </c>
      <c r="H150" s="201" t="s">
        <v>420</v>
      </c>
      <c r="I150" s="268" t="s">
        <v>84</v>
      </c>
      <c r="J150" s="256" t="s">
        <v>428</v>
      </c>
      <c r="K150" s="198" t="s">
        <v>33</v>
      </c>
      <c r="L150" s="225">
        <v>627868</v>
      </c>
      <c r="M150" s="226" t="s">
        <v>19</v>
      </c>
    </row>
    <row r="151" spans="2:13" ht="15" customHeight="1" x14ac:dyDescent="0.3">
      <c r="B151" s="198">
        <v>43838</v>
      </c>
      <c r="C151" s="228" t="s">
        <v>139</v>
      </c>
      <c r="D151" s="200" t="s">
        <v>36</v>
      </c>
      <c r="E151" s="200" t="s">
        <v>107</v>
      </c>
      <c r="F151" s="228" t="s">
        <v>126</v>
      </c>
      <c r="G151" s="229" t="s">
        <v>140</v>
      </c>
      <c r="H151" s="224" t="s">
        <v>141</v>
      </c>
      <c r="I151" s="224" t="s">
        <v>447</v>
      </c>
      <c r="J151" s="198" t="s">
        <v>142</v>
      </c>
      <c r="K151" s="229" t="s">
        <v>143</v>
      </c>
      <c r="L151" s="230">
        <v>1980000</v>
      </c>
      <c r="M151" s="226" t="s">
        <v>20</v>
      </c>
    </row>
    <row r="152" spans="2:13" ht="15" customHeight="1" x14ac:dyDescent="0.3">
      <c r="B152" s="198">
        <v>43838</v>
      </c>
      <c r="C152" s="228" t="s">
        <v>144</v>
      </c>
      <c r="D152" s="200" t="s">
        <v>36</v>
      </c>
      <c r="E152" s="200" t="s">
        <v>107</v>
      </c>
      <c r="F152" s="228" t="s">
        <v>126</v>
      </c>
      <c r="G152" s="229" t="s">
        <v>140</v>
      </c>
      <c r="H152" s="224" t="s">
        <v>141</v>
      </c>
      <c r="I152" s="224" t="s">
        <v>447</v>
      </c>
      <c r="J152" s="198" t="s">
        <v>142</v>
      </c>
      <c r="K152" s="229" t="s">
        <v>143</v>
      </c>
      <c r="L152" s="230">
        <v>1980000</v>
      </c>
      <c r="M152" s="226" t="s">
        <v>20</v>
      </c>
    </row>
    <row r="153" spans="2:13" ht="15" customHeight="1" x14ac:dyDescent="0.3">
      <c r="B153" s="198">
        <v>43857</v>
      </c>
      <c r="C153" s="199" t="s">
        <v>238</v>
      </c>
      <c r="D153" s="200" t="s">
        <v>36</v>
      </c>
      <c r="E153" s="200" t="s">
        <v>107</v>
      </c>
      <c r="F153" s="199" t="s">
        <v>227</v>
      </c>
      <c r="G153" s="201" t="s">
        <v>116</v>
      </c>
      <c r="H153" s="201" t="s">
        <v>239</v>
      </c>
      <c r="I153" s="201" t="s">
        <v>240</v>
      </c>
      <c r="J153" s="198" t="s">
        <v>241</v>
      </c>
      <c r="K153" s="229" t="s">
        <v>34</v>
      </c>
      <c r="L153" s="227">
        <v>13782744</v>
      </c>
      <c r="M153" s="226" t="s">
        <v>20</v>
      </c>
    </row>
    <row r="154" spans="2:13" ht="15" customHeight="1" x14ac:dyDescent="0.3">
      <c r="B154" s="198">
        <v>43857</v>
      </c>
      <c r="C154" s="199" t="s">
        <v>238</v>
      </c>
      <c r="D154" s="200" t="s">
        <v>36</v>
      </c>
      <c r="E154" s="200" t="s">
        <v>107</v>
      </c>
      <c r="F154" s="199" t="s">
        <v>227</v>
      </c>
      <c r="G154" s="201" t="s">
        <v>116</v>
      </c>
      <c r="H154" s="201" t="s">
        <v>37</v>
      </c>
      <c r="I154" s="201" t="s">
        <v>240</v>
      </c>
      <c r="J154" s="198" t="s">
        <v>241</v>
      </c>
      <c r="K154" s="198" t="s">
        <v>33</v>
      </c>
      <c r="L154" s="227">
        <v>10077655</v>
      </c>
      <c r="M154" s="226" t="s">
        <v>20</v>
      </c>
    </row>
    <row r="155" spans="2:13" ht="15" customHeight="1" x14ac:dyDescent="0.3">
      <c r="B155" s="198">
        <v>43857</v>
      </c>
      <c r="C155" s="199" t="s">
        <v>242</v>
      </c>
      <c r="D155" s="200" t="s">
        <v>36</v>
      </c>
      <c r="E155" s="200" t="s">
        <v>107</v>
      </c>
      <c r="F155" s="199" t="s">
        <v>227</v>
      </c>
      <c r="G155" s="201" t="s">
        <v>116</v>
      </c>
      <c r="H155" s="201" t="s">
        <v>243</v>
      </c>
      <c r="I155" s="201" t="s">
        <v>240</v>
      </c>
      <c r="J155" s="198" t="s">
        <v>241</v>
      </c>
      <c r="K155" s="198" t="s">
        <v>33</v>
      </c>
      <c r="L155" s="227">
        <v>8082106</v>
      </c>
      <c r="M155" s="226" t="s">
        <v>20</v>
      </c>
    </row>
    <row r="156" spans="2:13" ht="15" customHeight="1" x14ac:dyDescent="0.3">
      <c r="B156" s="198">
        <v>43837</v>
      </c>
      <c r="C156" s="207" t="s">
        <v>120</v>
      </c>
      <c r="D156" s="200" t="s">
        <v>36</v>
      </c>
      <c r="E156" s="224" t="s">
        <v>121</v>
      </c>
      <c r="F156" s="201" t="s">
        <v>122</v>
      </c>
      <c r="G156" s="201" t="s">
        <v>116</v>
      </c>
      <c r="H156" s="201" t="s">
        <v>37</v>
      </c>
      <c r="I156" s="201" t="s">
        <v>97</v>
      </c>
      <c r="J156" s="198" t="s">
        <v>123</v>
      </c>
      <c r="K156" s="198" t="s">
        <v>33</v>
      </c>
      <c r="L156" s="227">
        <v>4105646</v>
      </c>
      <c r="M156" s="226" t="s">
        <v>20</v>
      </c>
    </row>
    <row r="157" spans="2:13" ht="15" customHeight="1" x14ac:dyDescent="0.3">
      <c r="B157" s="198">
        <v>43837</v>
      </c>
      <c r="C157" s="207" t="s">
        <v>124</v>
      </c>
      <c r="D157" s="200" t="s">
        <v>36</v>
      </c>
      <c r="E157" s="224" t="s">
        <v>121</v>
      </c>
      <c r="F157" s="201" t="s">
        <v>122</v>
      </c>
      <c r="G157" s="201" t="s">
        <v>116</v>
      </c>
      <c r="H157" s="201" t="s">
        <v>37</v>
      </c>
      <c r="I157" s="201" t="s">
        <v>97</v>
      </c>
      <c r="J157" s="198" t="s">
        <v>123</v>
      </c>
      <c r="K157" s="198" t="s">
        <v>33</v>
      </c>
      <c r="L157" s="227">
        <v>4105646</v>
      </c>
      <c r="M157" s="226" t="s">
        <v>20</v>
      </c>
    </row>
    <row r="158" spans="2:13" ht="16.2" hidden="1" x14ac:dyDescent="0.3">
      <c r="B158" s="198"/>
      <c r="C158" s="199"/>
      <c r="D158" s="200"/>
      <c r="E158" s="201"/>
      <c r="F158" s="199"/>
      <c r="G158" s="199"/>
      <c r="H158" s="201"/>
      <c r="I158" s="241"/>
      <c r="J158" s="198"/>
      <c r="K158" s="198"/>
      <c r="L158" s="225"/>
      <c r="M158" s="201"/>
    </row>
    <row r="159" spans="2:13" ht="16.2" hidden="1" x14ac:dyDescent="0.3">
      <c r="B159" s="198"/>
      <c r="C159" s="199"/>
      <c r="D159" s="200"/>
      <c r="E159" s="201"/>
      <c r="F159" s="199"/>
      <c r="G159" s="199"/>
      <c r="H159" s="201"/>
      <c r="I159" s="241"/>
      <c r="J159" s="198"/>
      <c r="K159" s="198"/>
      <c r="L159" s="225"/>
      <c r="M159" s="201"/>
    </row>
    <row r="160" spans="2:13" ht="15" customHeight="1" x14ac:dyDescent="0.3">
      <c r="B160" s="198">
        <v>43837</v>
      </c>
      <c r="C160" s="199" t="s">
        <v>125</v>
      </c>
      <c r="D160" s="200" t="s">
        <v>36</v>
      </c>
      <c r="E160" s="224" t="s">
        <v>121</v>
      </c>
      <c r="F160" s="201" t="s">
        <v>126</v>
      </c>
      <c r="G160" s="201" t="s">
        <v>116</v>
      </c>
      <c r="H160" s="201" t="s">
        <v>38</v>
      </c>
      <c r="I160" s="203" t="s">
        <v>97</v>
      </c>
      <c r="J160" s="198" t="s">
        <v>127</v>
      </c>
      <c r="K160" s="198" t="s">
        <v>33</v>
      </c>
      <c r="L160" s="227">
        <v>2461266</v>
      </c>
      <c r="M160" s="226" t="s">
        <v>20</v>
      </c>
    </row>
    <row r="161" spans="2:13" ht="15" customHeight="1" x14ac:dyDescent="0.3">
      <c r="B161" s="198">
        <v>43837</v>
      </c>
      <c r="C161" s="199" t="s">
        <v>128</v>
      </c>
      <c r="D161" s="200" t="s">
        <v>36</v>
      </c>
      <c r="E161" s="224" t="s">
        <v>121</v>
      </c>
      <c r="F161" s="201" t="s">
        <v>126</v>
      </c>
      <c r="G161" s="201" t="s">
        <v>116</v>
      </c>
      <c r="H161" s="201" t="s">
        <v>38</v>
      </c>
      <c r="I161" s="203" t="s">
        <v>97</v>
      </c>
      <c r="J161" s="198" t="s">
        <v>129</v>
      </c>
      <c r="K161" s="198" t="s">
        <v>33</v>
      </c>
      <c r="L161" s="225">
        <v>4105646</v>
      </c>
      <c r="M161" s="226" t="s">
        <v>20</v>
      </c>
    </row>
    <row r="162" spans="2:13" ht="15" customHeight="1" x14ac:dyDescent="0.3">
      <c r="B162" s="198">
        <v>43846</v>
      </c>
      <c r="C162" s="199" t="s">
        <v>174</v>
      </c>
      <c r="D162" s="200" t="s">
        <v>36</v>
      </c>
      <c r="E162" s="200" t="s">
        <v>121</v>
      </c>
      <c r="F162" s="199" t="s">
        <v>175</v>
      </c>
      <c r="G162" s="201" t="s">
        <v>176</v>
      </c>
      <c r="H162" s="201" t="s">
        <v>177</v>
      </c>
      <c r="I162" s="203" t="s">
        <v>62</v>
      </c>
      <c r="J162" s="198" t="s">
        <v>178</v>
      </c>
      <c r="K162" s="198" t="s">
        <v>33</v>
      </c>
      <c r="L162" s="232">
        <v>5740886</v>
      </c>
      <c r="M162" s="226" t="s">
        <v>20</v>
      </c>
    </row>
    <row r="163" spans="2:13" ht="15" customHeight="1" x14ac:dyDescent="0.3">
      <c r="B163" s="198">
        <v>43850</v>
      </c>
      <c r="C163" s="199" t="s">
        <v>189</v>
      </c>
      <c r="D163" s="200" t="s">
        <v>36</v>
      </c>
      <c r="E163" s="200" t="s">
        <v>121</v>
      </c>
      <c r="F163" s="199" t="s">
        <v>190</v>
      </c>
      <c r="G163" s="201" t="s">
        <v>191</v>
      </c>
      <c r="H163" s="201" t="s">
        <v>192</v>
      </c>
      <c r="I163" s="201" t="s">
        <v>85</v>
      </c>
      <c r="J163" s="198" t="s">
        <v>193</v>
      </c>
      <c r="K163" s="198" t="s">
        <v>33</v>
      </c>
      <c r="L163" s="235">
        <v>5469533</v>
      </c>
      <c r="M163" s="226" t="s">
        <v>20</v>
      </c>
    </row>
    <row r="164" spans="2:13" ht="15" customHeight="1" x14ac:dyDescent="0.3">
      <c r="B164" s="198">
        <v>43850</v>
      </c>
      <c r="C164" s="199" t="s">
        <v>194</v>
      </c>
      <c r="D164" s="200" t="s">
        <v>36</v>
      </c>
      <c r="E164" s="200" t="s">
        <v>121</v>
      </c>
      <c r="F164" s="199" t="s">
        <v>190</v>
      </c>
      <c r="G164" s="201" t="s">
        <v>191</v>
      </c>
      <c r="H164" s="201" t="s">
        <v>192</v>
      </c>
      <c r="I164" s="201" t="s">
        <v>85</v>
      </c>
      <c r="J164" s="198" t="s">
        <v>193</v>
      </c>
      <c r="K164" s="198" t="s">
        <v>33</v>
      </c>
      <c r="L164" s="235">
        <v>5469533</v>
      </c>
      <c r="M164" s="226" t="s">
        <v>20</v>
      </c>
    </row>
    <row r="165" spans="2:13" ht="16.2" hidden="1" x14ac:dyDescent="0.3">
      <c r="B165" s="198"/>
      <c r="C165" s="199"/>
      <c r="D165" s="200"/>
      <c r="E165" s="201"/>
      <c r="F165" s="199"/>
      <c r="G165" s="201"/>
      <c r="H165" s="201"/>
      <c r="I165" s="241"/>
      <c r="J165" s="199"/>
      <c r="K165" s="198"/>
      <c r="L165" s="225"/>
      <c r="M165" s="201"/>
    </row>
    <row r="166" spans="2:13" ht="16.2" hidden="1" x14ac:dyDescent="0.3">
      <c r="B166" s="198"/>
      <c r="C166" s="199"/>
      <c r="D166" s="200"/>
      <c r="E166" s="201"/>
      <c r="F166" s="199"/>
      <c r="G166" s="201"/>
      <c r="H166" s="201"/>
      <c r="I166" s="241"/>
      <c r="J166" s="199"/>
      <c r="K166" s="198"/>
      <c r="L166" s="225"/>
      <c r="M166" s="201"/>
    </row>
    <row r="167" spans="2:13" ht="16.2" hidden="1" x14ac:dyDescent="0.3">
      <c r="B167" s="198"/>
      <c r="C167" s="243"/>
      <c r="D167" s="200"/>
      <c r="E167" s="201"/>
      <c r="F167" s="199"/>
      <c r="G167" s="201"/>
      <c r="H167" s="201"/>
      <c r="I167" s="241"/>
      <c r="J167" s="199"/>
      <c r="K167" s="198"/>
      <c r="L167" s="225"/>
      <c r="M167" s="201"/>
    </row>
    <row r="168" spans="2:13" ht="16.2" hidden="1" x14ac:dyDescent="0.3">
      <c r="B168" s="198"/>
      <c r="C168" s="199"/>
      <c r="D168" s="200"/>
      <c r="E168" s="200"/>
      <c r="F168" s="201"/>
      <c r="G168" s="201"/>
      <c r="H168" s="201"/>
      <c r="I168" s="241"/>
      <c r="J168" s="199"/>
      <c r="K168" s="198"/>
      <c r="L168" s="225"/>
      <c r="M168" s="201"/>
    </row>
    <row r="169" spans="2:13" ht="16.2" hidden="1" x14ac:dyDescent="0.3">
      <c r="B169" s="198"/>
      <c r="C169" s="199"/>
      <c r="D169" s="200"/>
      <c r="E169" s="200"/>
      <c r="F169" s="201"/>
      <c r="G169" s="201"/>
      <c r="H169" s="201"/>
      <c r="I169" s="241"/>
      <c r="J169" s="199"/>
      <c r="K169" s="198"/>
      <c r="L169" s="225"/>
      <c r="M169" s="201"/>
    </row>
    <row r="170" spans="2:13" ht="16.2" hidden="1" x14ac:dyDescent="0.3">
      <c r="B170" s="198"/>
      <c r="C170" s="199"/>
      <c r="D170" s="200"/>
      <c r="E170" s="200"/>
      <c r="F170" s="201"/>
      <c r="G170" s="201"/>
      <c r="H170" s="201"/>
      <c r="I170" s="241"/>
      <c r="J170" s="199"/>
      <c r="K170" s="198"/>
      <c r="L170" s="225"/>
      <c r="M170" s="201"/>
    </row>
    <row r="171" spans="2:13" ht="16.2" hidden="1" x14ac:dyDescent="0.3">
      <c r="B171" s="198"/>
      <c r="C171" s="199"/>
      <c r="D171" s="200"/>
      <c r="E171" s="201"/>
      <c r="F171" s="199"/>
      <c r="G171" s="201"/>
      <c r="H171" s="201"/>
      <c r="I171" s="241"/>
      <c r="J171" s="201"/>
      <c r="K171" s="198"/>
      <c r="L171" s="225"/>
      <c r="M171" s="243"/>
    </row>
    <row r="172" spans="2:13" ht="16.2" hidden="1" x14ac:dyDescent="0.3">
      <c r="B172" s="198"/>
      <c r="C172" s="199"/>
      <c r="D172" s="200"/>
      <c r="E172" s="201"/>
      <c r="F172" s="199"/>
      <c r="G172" s="201"/>
      <c r="H172" s="201"/>
      <c r="I172" s="241"/>
      <c r="J172" s="201"/>
      <c r="K172" s="198"/>
      <c r="L172" s="225"/>
      <c r="M172" s="243"/>
    </row>
    <row r="173" spans="2:13" ht="16.2" hidden="1" x14ac:dyDescent="0.3">
      <c r="B173" s="198"/>
      <c r="C173" s="199"/>
      <c r="D173" s="200"/>
      <c r="E173" s="200"/>
      <c r="F173" s="199"/>
      <c r="G173" s="201"/>
      <c r="H173" s="201"/>
      <c r="I173" s="241"/>
      <c r="J173" s="201"/>
      <c r="K173" s="198"/>
      <c r="L173" s="225"/>
      <c r="M173" s="243"/>
    </row>
    <row r="174" spans="2:13" ht="16.2" hidden="1" x14ac:dyDescent="0.3">
      <c r="B174" s="244"/>
      <c r="C174" s="204"/>
      <c r="D174" s="200"/>
      <c r="E174" s="245"/>
      <c r="F174" s="204"/>
      <c r="G174" s="246"/>
      <c r="H174" s="246"/>
      <c r="I174" s="241"/>
      <c r="J174" s="246"/>
      <c r="K174" s="244"/>
      <c r="L174" s="202"/>
      <c r="M174" s="243"/>
    </row>
    <row r="175" spans="2:13" ht="15" customHeight="1" x14ac:dyDescent="0.3">
      <c r="B175" s="198">
        <v>43851</v>
      </c>
      <c r="C175" s="199" t="s">
        <v>206</v>
      </c>
      <c r="D175" s="200" t="s">
        <v>36</v>
      </c>
      <c r="E175" s="200" t="s">
        <v>121</v>
      </c>
      <c r="F175" s="199" t="s">
        <v>190</v>
      </c>
      <c r="G175" s="201" t="s">
        <v>191</v>
      </c>
      <c r="H175" s="201" t="s">
        <v>192</v>
      </c>
      <c r="I175" s="201" t="s">
        <v>85</v>
      </c>
      <c r="J175" s="198" t="s">
        <v>193</v>
      </c>
      <c r="K175" s="198" t="s">
        <v>33</v>
      </c>
      <c r="L175" s="235">
        <v>5596979</v>
      </c>
      <c r="M175" s="226" t="s">
        <v>20</v>
      </c>
    </row>
    <row r="176" spans="2:13" ht="15" customHeight="1" x14ac:dyDescent="0.3">
      <c r="B176" s="198">
        <v>43851</v>
      </c>
      <c r="C176" s="200" t="s">
        <v>215</v>
      </c>
      <c r="D176" s="200" t="s">
        <v>36</v>
      </c>
      <c r="E176" s="200" t="s">
        <v>121</v>
      </c>
      <c r="F176" s="201" t="s">
        <v>126</v>
      </c>
      <c r="G176" s="201" t="s">
        <v>116</v>
      </c>
      <c r="H176" s="201" t="s">
        <v>37</v>
      </c>
      <c r="I176" s="203" t="s">
        <v>97</v>
      </c>
      <c r="J176" s="198" t="s">
        <v>216</v>
      </c>
      <c r="K176" s="198" t="s">
        <v>33</v>
      </c>
      <c r="L176" s="235">
        <v>4248182</v>
      </c>
      <c r="M176" s="226" t="s">
        <v>20</v>
      </c>
    </row>
    <row r="177" spans="2:13" ht="16.2" hidden="1" x14ac:dyDescent="0.3">
      <c r="B177" s="198"/>
      <c r="C177" s="199"/>
      <c r="D177" s="200"/>
      <c r="E177" s="200"/>
      <c r="F177" s="199"/>
      <c r="G177" s="201"/>
      <c r="H177" s="201"/>
      <c r="I177" s="241"/>
      <c r="J177" s="242"/>
      <c r="K177" s="201"/>
      <c r="L177" s="225"/>
      <c r="M177" s="201"/>
    </row>
    <row r="178" spans="2:13" ht="16.2" hidden="1" x14ac:dyDescent="0.3">
      <c r="B178" s="198"/>
      <c r="C178" s="199"/>
      <c r="D178" s="200"/>
      <c r="E178" s="200"/>
      <c r="F178" s="199"/>
      <c r="G178" s="201"/>
      <c r="H178" s="201"/>
      <c r="I178" s="241"/>
      <c r="J178" s="201"/>
      <c r="K178" s="198"/>
      <c r="L178" s="225"/>
      <c r="M178" s="201"/>
    </row>
    <row r="179" spans="2:13" ht="16.2" hidden="1" x14ac:dyDescent="0.3">
      <c r="B179" s="198"/>
      <c r="C179" s="199"/>
      <c r="D179" s="200"/>
      <c r="E179" s="200"/>
      <c r="F179" s="200"/>
      <c r="G179" s="201"/>
      <c r="H179" s="201"/>
      <c r="I179" s="241"/>
      <c r="J179" s="201"/>
      <c r="K179" s="198"/>
      <c r="L179" s="225"/>
      <c r="M179" s="201"/>
    </row>
    <row r="180" spans="2:13" ht="15" customHeight="1" x14ac:dyDescent="0.3">
      <c r="B180" s="198">
        <v>43857</v>
      </c>
      <c r="C180" s="199" t="s">
        <v>236</v>
      </c>
      <c r="D180" s="200" t="s">
        <v>36</v>
      </c>
      <c r="E180" s="200" t="s">
        <v>121</v>
      </c>
      <c r="F180" s="201" t="s">
        <v>182</v>
      </c>
      <c r="G180" s="201" t="s">
        <v>176</v>
      </c>
      <c r="H180" s="201" t="s">
        <v>237</v>
      </c>
      <c r="I180" s="203" t="s">
        <v>229</v>
      </c>
      <c r="J180" s="198" t="s">
        <v>210</v>
      </c>
      <c r="K180" s="198" t="s">
        <v>33</v>
      </c>
      <c r="L180" s="227">
        <v>4471008</v>
      </c>
      <c r="M180" s="226" t="s">
        <v>20</v>
      </c>
    </row>
    <row r="181" spans="2:13" ht="15" customHeight="1" x14ac:dyDescent="0.3">
      <c r="B181" s="198">
        <v>43857</v>
      </c>
      <c r="C181" s="199" t="s">
        <v>244</v>
      </c>
      <c r="D181" s="200" t="s">
        <v>36</v>
      </c>
      <c r="E181" s="200" t="s">
        <v>121</v>
      </c>
      <c r="F181" s="199" t="s">
        <v>155</v>
      </c>
      <c r="G181" s="201" t="s">
        <v>245</v>
      </c>
      <c r="H181" s="201" t="s">
        <v>246</v>
      </c>
      <c r="I181" s="241" t="s">
        <v>81</v>
      </c>
      <c r="J181" s="198">
        <v>43858</v>
      </c>
      <c r="K181" s="229" t="s">
        <v>247</v>
      </c>
      <c r="L181" s="227">
        <v>207500</v>
      </c>
      <c r="M181" s="226" t="s">
        <v>20</v>
      </c>
    </row>
    <row r="182" spans="2:13" ht="15" customHeight="1" x14ac:dyDescent="0.3">
      <c r="B182" s="198">
        <v>43857</v>
      </c>
      <c r="C182" s="199" t="s">
        <v>248</v>
      </c>
      <c r="D182" s="200" t="s">
        <v>36</v>
      </c>
      <c r="E182" s="200" t="s">
        <v>121</v>
      </c>
      <c r="F182" s="199" t="s">
        <v>155</v>
      </c>
      <c r="G182" s="201" t="s">
        <v>245</v>
      </c>
      <c r="H182" s="201" t="s">
        <v>246</v>
      </c>
      <c r="I182" s="241" t="s">
        <v>81</v>
      </c>
      <c r="J182" s="198">
        <v>43858</v>
      </c>
      <c r="K182" s="229" t="s">
        <v>247</v>
      </c>
      <c r="L182" s="227">
        <v>207500</v>
      </c>
      <c r="M182" s="226" t="s">
        <v>20</v>
      </c>
    </row>
    <row r="183" spans="2:13" ht="15" customHeight="1" x14ac:dyDescent="0.3">
      <c r="B183" s="198">
        <v>43857</v>
      </c>
      <c r="C183" s="228" t="s">
        <v>249</v>
      </c>
      <c r="D183" s="200" t="s">
        <v>36</v>
      </c>
      <c r="E183" s="200" t="s">
        <v>121</v>
      </c>
      <c r="F183" s="199" t="s">
        <v>155</v>
      </c>
      <c r="G183" s="201" t="s">
        <v>245</v>
      </c>
      <c r="H183" s="201" t="s">
        <v>246</v>
      </c>
      <c r="I183" s="241" t="s">
        <v>81</v>
      </c>
      <c r="J183" s="198">
        <v>43858</v>
      </c>
      <c r="K183" s="229" t="s">
        <v>247</v>
      </c>
      <c r="L183" s="227">
        <v>207500</v>
      </c>
      <c r="M183" s="226" t="s">
        <v>20</v>
      </c>
    </row>
    <row r="184" spans="2:13" ht="15" customHeight="1" x14ac:dyDescent="0.3">
      <c r="B184" s="198">
        <v>43857</v>
      </c>
      <c r="C184" s="228" t="s">
        <v>250</v>
      </c>
      <c r="D184" s="200" t="s">
        <v>36</v>
      </c>
      <c r="E184" s="200" t="s">
        <v>121</v>
      </c>
      <c r="F184" s="199" t="s">
        <v>155</v>
      </c>
      <c r="G184" s="201" t="s">
        <v>245</v>
      </c>
      <c r="H184" s="201" t="s">
        <v>246</v>
      </c>
      <c r="I184" s="241" t="s">
        <v>81</v>
      </c>
      <c r="J184" s="198">
        <v>43858</v>
      </c>
      <c r="K184" s="229" t="s">
        <v>247</v>
      </c>
      <c r="L184" s="227">
        <v>207500</v>
      </c>
      <c r="M184" s="226" t="s">
        <v>20</v>
      </c>
    </row>
    <row r="185" spans="2:13" ht="15" customHeight="1" x14ac:dyDescent="0.3">
      <c r="B185" s="198">
        <v>43858</v>
      </c>
      <c r="C185" s="264" t="s">
        <v>244</v>
      </c>
      <c r="D185" s="200" t="s">
        <v>36</v>
      </c>
      <c r="E185" s="200" t="s">
        <v>121</v>
      </c>
      <c r="F185" s="199" t="s">
        <v>155</v>
      </c>
      <c r="G185" s="229" t="s">
        <v>116</v>
      </c>
      <c r="H185" s="229" t="s">
        <v>251</v>
      </c>
      <c r="I185" s="241" t="s">
        <v>81</v>
      </c>
      <c r="J185" s="198">
        <v>43859</v>
      </c>
      <c r="K185" s="198" t="s">
        <v>33</v>
      </c>
      <c r="L185" s="230">
        <v>254059</v>
      </c>
      <c r="M185" s="226" t="s">
        <v>20</v>
      </c>
    </row>
    <row r="186" spans="2:13" ht="16.2" hidden="1" x14ac:dyDescent="0.3">
      <c r="B186" s="198"/>
      <c r="C186" s="199"/>
      <c r="D186" s="200"/>
      <c r="E186" s="201"/>
      <c r="F186" s="199"/>
      <c r="G186" s="201"/>
      <c r="H186" s="201"/>
      <c r="I186" s="241"/>
      <c r="J186" s="242"/>
      <c r="K186" s="198"/>
      <c r="L186" s="227"/>
      <c r="M186" s="201"/>
    </row>
    <row r="187" spans="2:13" ht="16.2" hidden="1" x14ac:dyDescent="0.3">
      <c r="B187" s="198"/>
      <c r="C187" s="199"/>
      <c r="D187" s="200"/>
      <c r="E187" s="201"/>
      <c r="F187" s="199"/>
      <c r="G187" s="201"/>
      <c r="H187" s="201"/>
      <c r="I187" s="241"/>
      <c r="J187" s="242"/>
      <c r="K187" s="198"/>
      <c r="L187" s="227"/>
      <c r="M187" s="201"/>
    </row>
    <row r="188" spans="2:13" ht="16.2" hidden="1" x14ac:dyDescent="0.3">
      <c r="B188" s="198"/>
      <c r="C188" s="199"/>
      <c r="D188" s="200"/>
      <c r="E188" s="201"/>
      <c r="F188" s="199"/>
      <c r="G188" s="201"/>
      <c r="H188" s="201"/>
      <c r="I188" s="241"/>
      <c r="J188" s="242"/>
      <c r="K188" s="198"/>
      <c r="L188" s="227"/>
      <c r="M188" s="201"/>
    </row>
    <row r="189" spans="2:13" ht="16.2" hidden="1" x14ac:dyDescent="0.3">
      <c r="B189" s="198"/>
      <c r="C189" s="248"/>
      <c r="D189" s="200"/>
      <c r="E189" s="201"/>
      <c r="F189" s="199"/>
      <c r="G189" s="201"/>
      <c r="H189" s="201"/>
      <c r="I189" s="241"/>
      <c r="J189" s="242"/>
      <c r="K189" s="198"/>
      <c r="L189" s="227"/>
      <c r="M189" s="201"/>
    </row>
    <row r="190" spans="2:13" ht="16.2" hidden="1" x14ac:dyDescent="0.3">
      <c r="B190" s="198"/>
      <c r="C190" s="199"/>
      <c r="D190" s="200"/>
      <c r="E190" s="200"/>
      <c r="F190" s="200"/>
      <c r="G190" s="200"/>
      <c r="H190" s="201"/>
      <c r="I190" s="241"/>
      <c r="J190" s="201"/>
      <c r="K190" s="200"/>
      <c r="L190" s="227"/>
      <c r="M190" s="201"/>
    </row>
    <row r="191" spans="2:13" ht="15" customHeight="1" x14ac:dyDescent="0.3">
      <c r="B191" s="198">
        <v>43858</v>
      </c>
      <c r="C191" s="199" t="s">
        <v>248</v>
      </c>
      <c r="D191" s="200" t="s">
        <v>36</v>
      </c>
      <c r="E191" s="200" t="s">
        <v>121</v>
      </c>
      <c r="F191" s="199" t="s">
        <v>155</v>
      </c>
      <c r="G191" s="229" t="s">
        <v>116</v>
      </c>
      <c r="H191" s="229" t="s">
        <v>251</v>
      </c>
      <c r="I191" s="241" t="s">
        <v>81</v>
      </c>
      <c r="J191" s="198">
        <v>43859</v>
      </c>
      <c r="K191" s="198" t="s">
        <v>33</v>
      </c>
      <c r="L191" s="230">
        <v>1079749</v>
      </c>
      <c r="M191" s="226" t="s">
        <v>20</v>
      </c>
    </row>
    <row r="192" spans="2:13" ht="16.2" hidden="1" x14ac:dyDescent="0.3">
      <c r="B192" s="198"/>
      <c r="C192" s="199"/>
      <c r="D192" s="200"/>
      <c r="E192" s="200"/>
      <c r="F192" s="199"/>
      <c r="G192" s="201"/>
      <c r="H192" s="201"/>
      <c r="I192" s="241"/>
      <c r="J192" s="242"/>
      <c r="K192" s="198"/>
      <c r="L192" s="225"/>
      <c r="M192" s="201"/>
    </row>
    <row r="193" spans="2:13" ht="16.2" hidden="1" x14ac:dyDescent="0.3">
      <c r="B193" s="198"/>
      <c r="C193" s="199"/>
      <c r="D193" s="200"/>
      <c r="E193" s="200"/>
      <c r="F193" s="199"/>
      <c r="G193" s="201"/>
      <c r="H193" s="201"/>
      <c r="I193" s="241"/>
      <c r="J193" s="242"/>
      <c r="K193" s="198"/>
      <c r="L193" s="225"/>
      <c r="M193" s="201"/>
    </row>
    <row r="194" spans="2:13" ht="15" customHeight="1" x14ac:dyDescent="0.3">
      <c r="B194" s="198">
        <v>43858</v>
      </c>
      <c r="C194" s="228" t="s">
        <v>249</v>
      </c>
      <c r="D194" s="200" t="s">
        <v>36</v>
      </c>
      <c r="E194" s="200" t="s">
        <v>121</v>
      </c>
      <c r="F194" s="199" t="s">
        <v>155</v>
      </c>
      <c r="G194" s="229" t="s">
        <v>116</v>
      </c>
      <c r="H194" s="229" t="s">
        <v>251</v>
      </c>
      <c r="I194" s="241" t="s">
        <v>81</v>
      </c>
      <c r="J194" s="198">
        <v>43859</v>
      </c>
      <c r="K194" s="198" t="s">
        <v>33</v>
      </c>
      <c r="L194" s="230">
        <v>1079749</v>
      </c>
      <c r="M194" s="226" t="s">
        <v>20</v>
      </c>
    </row>
    <row r="195" spans="2:13" ht="15" customHeight="1" x14ac:dyDescent="0.3">
      <c r="B195" s="198">
        <v>43858</v>
      </c>
      <c r="C195" s="228" t="s">
        <v>250</v>
      </c>
      <c r="D195" s="200" t="s">
        <v>36</v>
      </c>
      <c r="E195" s="200" t="s">
        <v>121</v>
      </c>
      <c r="F195" s="199" t="s">
        <v>155</v>
      </c>
      <c r="G195" s="229" t="s">
        <v>116</v>
      </c>
      <c r="H195" s="229" t="s">
        <v>251</v>
      </c>
      <c r="I195" s="241" t="s">
        <v>81</v>
      </c>
      <c r="J195" s="198">
        <v>43859</v>
      </c>
      <c r="K195" s="198" t="s">
        <v>33</v>
      </c>
      <c r="L195" s="230">
        <v>254059</v>
      </c>
      <c r="M195" s="226" t="s">
        <v>20</v>
      </c>
    </row>
    <row r="196" spans="2:13" ht="15" customHeight="1" x14ac:dyDescent="0.3">
      <c r="B196" s="198">
        <v>43858</v>
      </c>
      <c r="C196" s="228" t="s">
        <v>268</v>
      </c>
      <c r="D196" s="200" t="s">
        <v>36</v>
      </c>
      <c r="E196" s="200" t="s">
        <v>121</v>
      </c>
      <c r="F196" s="199" t="s">
        <v>269</v>
      </c>
      <c r="G196" s="201" t="s">
        <v>270</v>
      </c>
      <c r="H196" s="201" t="s">
        <v>271</v>
      </c>
      <c r="I196" s="203" t="s">
        <v>99</v>
      </c>
      <c r="J196" s="198" t="s">
        <v>272</v>
      </c>
      <c r="K196" s="229" t="s">
        <v>162</v>
      </c>
      <c r="L196" s="234">
        <v>7649260</v>
      </c>
      <c r="M196" s="226" t="s">
        <v>20</v>
      </c>
    </row>
    <row r="197" spans="2:13" ht="16.2" hidden="1" x14ac:dyDescent="0.3">
      <c r="B197" s="198"/>
      <c r="C197" s="199"/>
      <c r="D197" s="200"/>
      <c r="E197" s="200"/>
      <c r="F197" s="200"/>
      <c r="G197" s="201"/>
      <c r="H197" s="201"/>
      <c r="I197" s="241"/>
      <c r="J197" s="198"/>
      <c r="K197" s="198"/>
      <c r="L197" s="227"/>
      <c r="M197" s="201"/>
    </row>
    <row r="198" spans="2:13" ht="15" customHeight="1" x14ac:dyDescent="0.3">
      <c r="B198" s="198">
        <v>43858</v>
      </c>
      <c r="C198" s="228" t="s">
        <v>273</v>
      </c>
      <c r="D198" s="200" t="s">
        <v>36</v>
      </c>
      <c r="E198" s="200" t="s">
        <v>121</v>
      </c>
      <c r="F198" s="199" t="s">
        <v>274</v>
      </c>
      <c r="G198" s="201" t="s">
        <v>176</v>
      </c>
      <c r="H198" s="201" t="s">
        <v>275</v>
      </c>
      <c r="I198" s="203" t="s">
        <v>62</v>
      </c>
      <c r="J198" s="198">
        <v>43859</v>
      </c>
      <c r="K198" s="198" t="s">
        <v>39</v>
      </c>
      <c r="L198" s="234">
        <v>6037605</v>
      </c>
      <c r="M198" s="226" t="s">
        <v>20</v>
      </c>
    </row>
    <row r="199" spans="2:13" ht="16.2" hidden="1" x14ac:dyDescent="0.3">
      <c r="B199" s="198"/>
      <c r="C199" s="206"/>
      <c r="D199" s="200"/>
      <c r="E199" s="200"/>
      <c r="F199" s="201"/>
      <c r="G199" s="199"/>
      <c r="H199" s="201"/>
      <c r="I199" s="241"/>
      <c r="J199" s="242"/>
      <c r="K199" s="198"/>
      <c r="L199" s="231"/>
      <c r="M199" s="243"/>
    </row>
    <row r="200" spans="2:13" ht="16.2" hidden="1" x14ac:dyDescent="0.3">
      <c r="B200" s="198"/>
      <c r="C200" s="206"/>
      <c r="D200" s="200"/>
      <c r="E200" s="200"/>
      <c r="F200" s="199"/>
      <c r="G200" s="199"/>
      <c r="H200" s="201"/>
      <c r="I200" s="241"/>
      <c r="J200" s="242"/>
      <c r="K200" s="198"/>
      <c r="L200" s="231"/>
      <c r="M200" s="243"/>
    </row>
    <row r="201" spans="2:13" ht="16.2" hidden="1" x14ac:dyDescent="0.3">
      <c r="B201" s="198"/>
      <c r="C201" s="206"/>
      <c r="D201" s="200"/>
      <c r="E201" s="200"/>
      <c r="F201" s="201"/>
      <c r="G201" s="199"/>
      <c r="H201" s="201"/>
      <c r="I201" s="241"/>
      <c r="J201" s="249"/>
      <c r="K201" s="198"/>
      <c r="L201" s="231"/>
      <c r="M201" s="243"/>
    </row>
    <row r="202" spans="2:13" ht="16.2" hidden="1" x14ac:dyDescent="0.3">
      <c r="B202" s="198"/>
      <c r="C202" s="206"/>
      <c r="D202" s="200"/>
      <c r="E202" s="200"/>
      <c r="F202" s="199"/>
      <c r="G202" s="199"/>
      <c r="H202" s="201"/>
      <c r="I202" s="241"/>
      <c r="J202" s="249"/>
      <c r="K202" s="198"/>
      <c r="L202" s="231"/>
      <c r="M202" s="243"/>
    </row>
    <row r="203" spans="2:13" ht="15" customHeight="1" x14ac:dyDescent="0.3">
      <c r="B203" s="198">
        <v>43858</v>
      </c>
      <c r="C203" s="228" t="s">
        <v>276</v>
      </c>
      <c r="D203" s="200" t="s">
        <v>36</v>
      </c>
      <c r="E203" s="200" t="s">
        <v>121</v>
      </c>
      <c r="F203" s="199" t="s">
        <v>274</v>
      </c>
      <c r="G203" s="201" t="s">
        <v>176</v>
      </c>
      <c r="H203" s="201" t="s">
        <v>275</v>
      </c>
      <c r="I203" s="203" t="s">
        <v>62</v>
      </c>
      <c r="J203" s="198">
        <v>43859</v>
      </c>
      <c r="K203" s="198" t="s">
        <v>39</v>
      </c>
      <c r="L203" s="234">
        <v>7223212</v>
      </c>
      <c r="M203" s="226" t="s">
        <v>20</v>
      </c>
    </row>
    <row r="204" spans="2:13" ht="15" customHeight="1" x14ac:dyDescent="0.3">
      <c r="B204" s="198">
        <v>43858</v>
      </c>
      <c r="C204" s="228" t="s">
        <v>277</v>
      </c>
      <c r="D204" s="200" t="s">
        <v>36</v>
      </c>
      <c r="E204" s="200" t="s">
        <v>121</v>
      </c>
      <c r="F204" s="199" t="s">
        <v>274</v>
      </c>
      <c r="G204" s="201" t="s">
        <v>176</v>
      </c>
      <c r="H204" s="201" t="s">
        <v>275</v>
      </c>
      <c r="I204" s="203" t="s">
        <v>62</v>
      </c>
      <c r="J204" s="198">
        <v>43859</v>
      </c>
      <c r="K204" s="198" t="s">
        <v>39</v>
      </c>
      <c r="L204" s="234">
        <v>6037605</v>
      </c>
      <c r="M204" s="226" t="s">
        <v>20</v>
      </c>
    </row>
    <row r="205" spans="2:13" ht="15" customHeight="1" x14ac:dyDescent="0.3">
      <c r="B205" s="198">
        <v>43859</v>
      </c>
      <c r="C205" s="228" t="s">
        <v>285</v>
      </c>
      <c r="D205" s="200" t="s">
        <v>36</v>
      </c>
      <c r="E205" s="200" t="s">
        <v>121</v>
      </c>
      <c r="F205" s="201" t="s">
        <v>126</v>
      </c>
      <c r="G205" s="201" t="s">
        <v>286</v>
      </c>
      <c r="H205" s="224" t="s">
        <v>287</v>
      </c>
      <c r="I205" s="268" t="s">
        <v>51</v>
      </c>
      <c r="J205" s="198" t="s">
        <v>288</v>
      </c>
      <c r="K205" s="198" t="s">
        <v>33</v>
      </c>
      <c r="L205" s="234">
        <v>6639949</v>
      </c>
      <c r="M205" s="226" t="s">
        <v>20</v>
      </c>
    </row>
    <row r="206" spans="2:13" ht="15" customHeight="1" x14ac:dyDescent="0.3">
      <c r="B206" s="198">
        <v>43859</v>
      </c>
      <c r="C206" s="199" t="s">
        <v>236</v>
      </c>
      <c r="D206" s="200" t="s">
        <v>36</v>
      </c>
      <c r="E206" s="200" t="s">
        <v>121</v>
      </c>
      <c r="F206" s="201" t="s">
        <v>182</v>
      </c>
      <c r="G206" s="201" t="s">
        <v>176</v>
      </c>
      <c r="H206" s="201" t="s">
        <v>290</v>
      </c>
      <c r="I206" s="203" t="s">
        <v>229</v>
      </c>
      <c r="J206" s="198">
        <v>43858</v>
      </c>
      <c r="K206" s="198" t="s">
        <v>33</v>
      </c>
      <c r="L206" s="227">
        <v>734723</v>
      </c>
      <c r="M206" s="226" t="s">
        <v>20</v>
      </c>
    </row>
    <row r="207" spans="2:13" ht="16.2" hidden="1" x14ac:dyDescent="0.3">
      <c r="B207" s="198"/>
      <c r="C207" s="199"/>
      <c r="D207" s="200"/>
      <c r="E207" s="200"/>
      <c r="F207" s="199"/>
      <c r="G207" s="201"/>
      <c r="H207" s="201"/>
      <c r="I207" s="241"/>
      <c r="J207" s="242"/>
      <c r="K207" s="198"/>
      <c r="L207" s="225"/>
      <c r="M207" s="201"/>
    </row>
    <row r="208" spans="2:13" ht="16.2" hidden="1" x14ac:dyDescent="0.3">
      <c r="B208" s="198"/>
      <c r="C208" s="199"/>
      <c r="D208" s="200"/>
      <c r="E208" s="200"/>
      <c r="F208" s="199"/>
      <c r="G208" s="199"/>
      <c r="H208" s="201"/>
      <c r="I208" s="241"/>
      <c r="J208" s="249"/>
      <c r="K208" s="199"/>
      <c r="L208" s="225"/>
      <c r="M208" s="243"/>
    </row>
    <row r="209" spans="2:13" ht="16.2" hidden="1" x14ac:dyDescent="0.3">
      <c r="B209" s="198"/>
      <c r="C209" s="199"/>
      <c r="D209" s="200"/>
      <c r="E209" s="200"/>
      <c r="F209" s="199"/>
      <c r="G209" s="201"/>
      <c r="H209" s="201"/>
      <c r="I209" s="241"/>
      <c r="J209" s="199"/>
      <c r="K209" s="198"/>
      <c r="L209" s="227"/>
      <c r="M209" s="201"/>
    </row>
    <row r="210" spans="2:13" ht="16.2" hidden="1" x14ac:dyDescent="0.3">
      <c r="B210" s="198"/>
      <c r="C210" s="199"/>
      <c r="D210" s="200"/>
      <c r="E210" s="200"/>
      <c r="F210" s="199"/>
      <c r="G210" s="201"/>
      <c r="H210" s="201"/>
      <c r="I210" s="241"/>
      <c r="J210" s="199"/>
      <c r="K210" s="198"/>
      <c r="L210" s="227"/>
      <c r="M210" s="201"/>
    </row>
    <row r="211" spans="2:13" ht="15" customHeight="1" x14ac:dyDescent="0.3">
      <c r="B211" s="198">
        <v>43859</v>
      </c>
      <c r="C211" s="199" t="s">
        <v>236</v>
      </c>
      <c r="D211" s="200" t="s">
        <v>36</v>
      </c>
      <c r="E211" s="200" t="s">
        <v>121</v>
      </c>
      <c r="F211" s="201" t="s">
        <v>182</v>
      </c>
      <c r="G211" s="201" t="s">
        <v>176</v>
      </c>
      <c r="H211" s="201" t="s">
        <v>151</v>
      </c>
      <c r="I211" s="201" t="s">
        <v>85</v>
      </c>
      <c r="J211" s="198">
        <v>43859</v>
      </c>
      <c r="K211" s="198" t="s">
        <v>33</v>
      </c>
      <c r="L211" s="227">
        <v>679095</v>
      </c>
      <c r="M211" s="226" t="s">
        <v>20</v>
      </c>
    </row>
    <row r="212" spans="2:13" ht="16.2" hidden="1" x14ac:dyDescent="0.3">
      <c r="B212" s="198"/>
      <c r="C212" s="199"/>
      <c r="D212" s="200"/>
      <c r="E212" s="201"/>
      <c r="F212" s="199"/>
      <c r="G212" s="199"/>
      <c r="H212" s="201"/>
      <c r="I212" s="241"/>
      <c r="J212" s="249"/>
      <c r="K212" s="198"/>
      <c r="L212" s="225"/>
      <c r="M212" s="243"/>
    </row>
    <row r="213" spans="2:13" ht="16.2" hidden="1" x14ac:dyDescent="0.3">
      <c r="B213" s="198"/>
      <c r="C213" s="199"/>
      <c r="D213" s="200"/>
      <c r="E213" s="200"/>
      <c r="F213" s="199"/>
      <c r="G213" s="199"/>
      <c r="H213" s="201"/>
      <c r="I213" s="241"/>
      <c r="J213" s="249"/>
      <c r="K213" s="198"/>
      <c r="L213" s="225"/>
      <c r="M213" s="243"/>
    </row>
    <row r="214" spans="2:13" ht="16.2" hidden="1" x14ac:dyDescent="0.3">
      <c r="B214" s="198"/>
      <c r="C214" s="199"/>
      <c r="D214" s="200"/>
      <c r="E214" s="200"/>
      <c r="F214" s="199"/>
      <c r="G214" s="199"/>
      <c r="H214" s="201"/>
      <c r="I214" s="241"/>
      <c r="J214" s="249"/>
      <c r="K214" s="198"/>
      <c r="L214" s="225"/>
      <c r="M214" s="224"/>
    </row>
    <row r="215" spans="2:13" ht="16.2" hidden="1" x14ac:dyDescent="0.3">
      <c r="B215" s="198"/>
      <c r="C215" s="199"/>
      <c r="D215" s="200"/>
      <c r="E215" s="200"/>
      <c r="F215" s="199"/>
      <c r="G215" s="199"/>
      <c r="H215" s="201"/>
      <c r="I215" s="241"/>
      <c r="J215" s="249"/>
      <c r="K215" s="198"/>
      <c r="L215" s="225"/>
      <c r="M215" s="243"/>
    </row>
    <row r="216" spans="2:13" ht="16.2" hidden="1" x14ac:dyDescent="0.3">
      <c r="B216" s="198"/>
      <c r="C216" s="199"/>
      <c r="D216" s="200"/>
      <c r="E216" s="200"/>
      <c r="F216" s="199"/>
      <c r="G216" s="199"/>
      <c r="H216" s="201"/>
      <c r="I216" s="241"/>
      <c r="J216" s="199"/>
      <c r="K216" s="198"/>
      <c r="L216" s="225"/>
      <c r="M216" s="243"/>
    </row>
    <row r="217" spans="2:13" ht="16.2" hidden="1" x14ac:dyDescent="0.3">
      <c r="B217" s="198"/>
      <c r="C217" s="199"/>
      <c r="D217" s="200"/>
      <c r="E217" s="200"/>
      <c r="F217" s="199"/>
      <c r="G217" s="199"/>
      <c r="H217" s="201"/>
      <c r="I217" s="241"/>
      <c r="J217" s="199"/>
      <c r="K217" s="198"/>
      <c r="L217" s="225"/>
      <c r="M217" s="243"/>
    </row>
    <row r="218" spans="2:13" ht="15" customHeight="1" x14ac:dyDescent="0.3">
      <c r="B218" s="198">
        <v>43861</v>
      </c>
      <c r="C218" s="228" t="s">
        <v>273</v>
      </c>
      <c r="D218" s="200" t="s">
        <v>36</v>
      </c>
      <c r="E218" s="200" t="s">
        <v>121</v>
      </c>
      <c r="F218" s="199" t="s">
        <v>274</v>
      </c>
      <c r="G218" s="201" t="s">
        <v>176</v>
      </c>
      <c r="H218" s="201" t="s">
        <v>296</v>
      </c>
      <c r="I218" s="203" t="s">
        <v>62</v>
      </c>
      <c r="J218" s="198">
        <v>43862</v>
      </c>
      <c r="K218" s="198" t="s">
        <v>180</v>
      </c>
      <c r="L218" s="234">
        <v>4890366</v>
      </c>
      <c r="M218" s="226" t="s">
        <v>20</v>
      </c>
    </row>
    <row r="219" spans="2:13" ht="15" customHeight="1" x14ac:dyDescent="0.3">
      <c r="B219" s="198">
        <v>43861</v>
      </c>
      <c r="C219" s="228" t="s">
        <v>276</v>
      </c>
      <c r="D219" s="200" t="s">
        <v>36</v>
      </c>
      <c r="E219" s="200" t="s">
        <v>121</v>
      </c>
      <c r="F219" s="199" t="s">
        <v>274</v>
      </c>
      <c r="G219" s="201" t="s">
        <v>176</v>
      </c>
      <c r="H219" s="201" t="s">
        <v>296</v>
      </c>
      <c r="I219" s="203" t="s">
        <v>62</v>
      </c>
      <c r="J219" s="198">
        <v>43862</v>
      </c>
      <c r="K219" s="198" t="s">
        <v>180</v>
      </c>
      <c r="L219" s="234">
        <v>4300033</v>
      </c>
      <c r="M219" s="226" t="s">
        <v>20</v>
      </c>
    </row>
    <row r="220" spans="2:13" ht="15" customHeight="1" x14ac:dyDescent="0.3">
      <c r="B220" s="198">
        <v>43861</v>
      </c>
      <c r="C220" s="228" t="s">
        <v>277</v>
      </c>
      <c r="D220" s="200" t="s">
        <v>36</v>
      </c>
      <c r="E220" s="200" t="s">
        <v>121</v>
      </c>
      <c r="F220" s="199" t="s">
        <v>274</v>
      </c>
      <c r="G220" s="201" t="s">
        <v>176</v>
      </c>
      <c r="H220" s="201" t="s">
        <v>296</v>
      </c>
      <c r="I220" s="203" t="s">
        <v>62</v>
      </c>
      <c r="J220" s="198">
        <v>43862</v>
      </c>
      <c r="K220" s="198" t="s">
        <v>180</v>
      </c>
      <c r="L220" s="234">
        <v>4300033</v>
      </c>
      <c r="M220" s="226" t="s">
        <v>20</v>
      </c>
    </row>
    <row r="221" spans="2:13" ht="15" customHeight="1" x14ac:dyDescent="0.3">
      <c r="B221" s="198">
        <v>43850</v>
      </c>
      <c r="C221" s="199" t="s">
        <v>344</v>
      </c>
      <c r="D221" s="200" t="s">
        <v>36</v>
      </c>
      <c r="E221" s="200" t="s">
        <v>121</v>
      </c>
      <c r="F221" s="199" t="s">
        <v>321</v>
      </c>
      <c r="G221" s="199" t="s">
        <v>345</v>
      </c>
      <c r="H221" s="201" t="s">
        <v>305</v>
      </c>
      <c r="I221" s="241" t="s">
        <v>97</v>
      </c>
      <c r="J221" s="199" t="s">
        <v>323</v>
      </c>
      <c r="K221" s="198" t="s">
        <v>33</v>
      </c>
      <c r="L221" s="225">
        <v>4110116</v>
      </c>
      <c r="M221" s="226" t="s">
        <v>20</v>
      </c>
    </row>
    <row r="222" spans="2:13" ht="15" customHeight="1" x14ac:dyDescent="0.3">
      <c r="B222" s="198">
        <v>43850</v>
      </c>
      <c r="C222" s="199" t="s">
        <v>346</v>
      </c>
      <c r="D222" s="200" t="s">
        <v>36</v>
      </c>
      <c r="E222" s="200" t="s">
        <v>121</v>
      </c>
      <c r="F222" s="199" t="s">
        <v>321</v>
      </c>
      <c r="G222" s="199" t="s">
        <v>345</v>
      </c>
      <c r="H222" s="201" t="s">
        <v>305</v>
      </c>
      <c r="I222" s="241" t="s">
        <v>97</v>
      </c>
      <c r="J222" s="199" t="s">
        <v>323</v>
      </c>
      <c r="K222" s="198" t="s">
        <v>33</v>
      </c>
      <c r="L222" s="225">
        <v>4110116</v>
      </c>
      <c r="M222" s="226" t="s">
        <v>20</v>
      </c>
    </row>
    <row r="223" spans="2:13" ht="15" customHeight="1" x14ac:dyDescent="0.3">
      <c r="B223" s="198">
        <v>43850</v>
      </c>
      <c r="C223" s="199" t="s">
        <v>347</v>
      </c>
      <c r="D223" s="200" t="s">
        <v>36</v>
      </c>
      <c r="E223" s="200" t="s">
        <v>121</v>
      </c>
      <c r="F223" s="199" t="s">
        <v>321</v>
      </c>
      <c r="G223" s="199" t="s">
        <v>345</v>
      </c>
      <c r="H223" s="201" t="s">
        <v>305</v>
      </c>
      <c r="I223" s="241" t="s">
        <v>97</v>
      </c>
      <c r="J223" s="199" t="s">
        <v>323</v>
      </c>
      <c r="K223" s="198" t="s">
        <v>33</v>
      </c>
      <c r="L223" s="225">
        <v>4110116</v>
      </c>
      <c r="M223" s="226" t="s">
        <v>20</v>
      </c>
    </row>
    <row r="224" spans="2:13" ht="16.2" hidden="1" x14ac:dyDescent="0.3">
      <c r="B224" s="198"/>
      <c r="C224" s="199"/>
      <c r="D224" s="200"/>
      <c r="E224" s="200"/>
      <c r="F224" s="199"/>
      <c r="G224" s="201"/>
      <c r="H224" s="201"/>
      <c r="I224" s="241"/>
      <c r="J224" s="199"/>
      <c r="K224" s="198"/>
      <c r="L224" s="227"/>
      <c r="M224" s="201"/>
    </row>
    <row r="225" spans="2:13" ht="16.2" hidden="1" x14ac:dyDescent="0.3">
      <c r="B225" s="198"/>
      <c r="C225" s="199"/>
      <c r="D225" s="200"/>
      <c r="E225" s="200"/>
      <c r="F225" s="199"/>
      <c r="G225" s="201"/>
      <c r="H225" s="201"/>
      <c r="I225" s="241"/>
      <c r="J225" s="199"/>
      <c r="K225" s="198"/>
      <c r="L225" s="227"/>
      <c r="M225" s="201"/>
    </row>
    <row r="226" spans="2:13" ht="16.2" hidden="1" x14ac:dyDescent="0.3">
      <c r="B226" s="198"/>
      <c r="C226" s="199"/>
      <c r="D226" s="200"/>
      <c r="E226" s="200"/>
      <c r="F226" s="199"/>
      <c r="G226" s="201"/>
      <c r="H226" s="201"/>
      <c r="I226" s="241"/>
      <c r="J226" s="199"/>
      <c r="K226" s="198"/>
      <c r="L226" s="227"/>
      <c r="M226" s="201"/>
    </row>
    <row r="227" spans="2:13" ht="15" customHeight="1" x14ac:dyDescent="0.3">
      <c r="B227" s="198">
        <v>43850</v>
      </c>
      <c r="C227" s="199" t="s">
        <v>348</v>
      </c>
      <c r="D227" s="200" t="s">
        <v>36</v>
      </c>
      <c r="E227" s="200" t="s">
        <v>121</v>
      </c>
      <c r="F227" s="199" t="s">
        <v>321</v>
      </c>
      <c r="G227" s="199" t="s">
        <v>345</v>
      </c>
      <c r="H227" s="201" t="s">
        <v>305</v>
      </c>
      <c r="I227" s="241" t="s">
        <v>97</v>
      </c>
      <c r="J227" s="199" t="s">
        <v>323</v>
      </c>
      <c r="K227" s="198" t="s">
        <v>33</v>
      </c>
      <c r="L227" s="227">
        <v>10110670</v>
      </c>
      <c r="M227" s="226" t="s">
        <v>20</v>
      </c>
    </row>
    <row r="228" spans="2:13" ht="15" hidden="1" customHeight="1" x14ac:dyDescent="0.3">
      <c r="B228" s="198"/>
      <c r="C228" s="199"/>
      <c r="D228" s="200"/>
      <c r="E228" s="200"/>
      <c r="F228" s="199"/>
      <c r="G228" s="201"/>
      <c r="H228" s="201"/>
      <c r="I228" s="241"/>
      <c r="J228" s="199"/>
      <c r="K228" s="198"/>
      <c r="L228" s="225"/>
      <c r="M228" s="226"/>
    </row>
    <row r="229" spans="2:13" ht="16.2" hidden="1" x14ac:dyDescent="0.3">
      <c r="B229" s="198"/>
      <c r="C229" s="199"/>
      <c r="D229" s="200"/>
      <c r="E229" s="200"/>
      <c r="F229" s="199"/>
      <c r="G229" s="201"/>
      <c r="H229" s="201"/>
      <c r="I229" s="241"/>
      <c r="J229" s="199"/>
      <c r="K229" s="198"/>
      <c r="L229" s="225"/>
      <c r="M229" s="201"/>
    </row>
    <row r="230" spans="2:13" ht="16.2" hidden="1" x14ac:dyDescent="0.3">
      <c r="B230" s="198"/>
      <c r="C230" s="199"/>
      <c r="D230" s="200"/>
      <c r="E230" s="199"/>
      <c r="F230" s="199"/>
      <c r="G230" s="201"/>
      <c r="H230" s="201"/>
      <c r="I230" s="241"/>
      <c r="J230" s="199"/>
      <c r="K230" s="198"/>
      <c r="L230" s="225"/>
      <c r="M230" s="201"/>
    </row>
    <row r="231" spans="2:13" ht="16.2" hidden="1" x14ac:dyDescent="0.3">
      <c r="B231" s="238"/>
      <c r="C231" s="206"/>
      <c r="D231" s="200"/>
      <c r="E231" s="206"/>
      <c r="F231" s="243"/>
      <c r="G231" s="206"/>
      <c r="H231" s="201"/>
      <c r="I231" s="241"/>
      <c r="J231" s="206"/>
      <c r="K231" s="238"/>
      <c r="L231" s="231"/>
      <c r="M231" s="201"/>
    </row>
    <row r="232" spans="2:13" ht="16.2" hidden="1" x14ac:dyDescent="0.3">
      <c r="B232" s="198"/>
      <c r="C232" s="199"/>
      <c r="D232" s="200"/>
      <c r="E232" s="200"/>
      <c r="F232" s="199"/>
      <c r="G232" s="199"/>
      <c r="H232" s="201"/>
      <c r="I232" s="241"/>
      <c r="J232" s="198"/>
      <c r="K232" s="198"/>
      <c r="L232" s="225"/>
      <c r="M232" s="224"/>
    </row>
    <row r="233" spans="2:13" ht="16.2" hidden="1" x14ac:dyDescent="0.3">
      <c r="B233" s="198"/>
      <c r="C233" s="199"/>
      <c r="D233" s="200"/>
      <c r="E233" s="200"/>
      <c r="F233" s="200"/>
      <c r="G233" s="199"/>
      <c r="H233" s="201"/>
      <c r="I233" s="241"/>
      <c r="J233" s="198"/>
      <c r="K233" s="198"/>
      <c r="L233" s="225"/>
      <c r="M233" s="201"/>
    </row>
    <row r="234" spans="2:13" ht="16.2" hidden="1" x14ac:dyDescent="0.3">
      <c r="B234" s="238"/>
      <c r="C234" s="206"/>
      <c r="D234" s="200"/>
      <c r="E234" s="201"/>
      <c r="F234" s="206"/>
      <c r="G234" s="201"/>
      <c r="H234" s="201"/>
      <c r="I234" s="241"/>
      <c r="J234" s="250"/>
      <c r="K234" s="238"/>
      <c r="L234" s="231"/>
      <c r="M234" s="201"/>
    </row>
    <row r="235" spans="2:13" ht="16.2" hidden="1" x14ac:dyDescent="0.3">
      <c r="B235" s="238"/>
      <c r="C235" s="243"/>
      <c r="D235" s="200"/>
      <c r="E235" s="201"/>
      <c r="F235" s="206"/>
      <c r="G235" s="201"/>
      <c r="H235" s="201"/>
      <c r="I235" s="241"/>
      <c r="J235" s="250"/>
      <c r="K235" s="238"/>
      <c r="L235" s="251"/>
      <c r="M235" s="201"/>
    </row>
    <row r="236" spans="2:13" ht="16.2" hidden="1" x14ac:dyDescent="0.3">
      <c r="B236" s="238"/>
      <c r="C236" s="206"/>
      <c r="D236" s="200"/>
      <c r="E236" s="201"/>
      <c r="F236" s="201"/>
      <c r="G236" s="201"/>
      <c r="H236" s="201"/>
      <c r="I236" s="241"/>
      <c r="J236" s="250"/>
      <c r="K236" s="238"/>
      <c r="L236" s="231"/>
      <c r="M236" s="201"/>
    </row>
    <row r="237" spans="2:13" ht="16.2" hidden="1" x14ac:dyDescent="0.3">
      <c r="B237" s="238"/>
      <c r="C237" s="206"/>
      <c r="D237" s="200"/>
      <c r="E237" s="201"/>
      <c r="F237" s="201"/>
      <c r="G237" s="201"/>
      <c r="H237" s="201"/>
      <c r="I237" s="241"/>
      <c r="J237" s="250"/>
      <c r="K237" s="238"/>
      <c r="L237" s="251"/>
      <c r="M237" s="201"/>
    </row>
    <row r="238" spans="2:13" ht="16.2" hidden="1" x14ac:dyDescent="0.3">
      <c r="B238" s="198"/>
      <c r="C238" s="199"/>
      <c r="D238" s="200"/>
      <c r="E238" s="200"/>
      <c r="F238" s="201"/>
      <c r="G238" s="201"/>
      <c r="H238" s="201"/>
      <c r="I238" s="241"/>
      <c r="J238" s="198"/>
      <c r="K238" s="198"/>
      <c r="L238" s="227"/>
      <c r="M238" s="224"/>
    </row>
    <row r="239" spans="2:13" ht="16.2" hidden="1" x14ac:dyDescent="0.3">
      <c r="B239" s="198"/>
      <c r="C239" s="199"/>
      <c r="D239" s="200"/>
      <c r="E239" s="200"/>
      <c r="F239" s="200"/>
      <c r="G239" s="201"/>
      <c r="H239" s="201"/>
      <c r="I239" s="241"/>
      <c r="J239" s="198"/>
      <c r="K239" s="198"/>
      <c r="L239" s="225"/>
      <c r="M239" s="224"/>
    </row>
    <row r="240" spans="2:13" ht="16.2" hidden="1" x14ac:dyDescent="0.3">
      <c r="B240" s="198"/>
      <c r="C240" s="199"/>
      <c r="D240" s="200"/>
      <c r="E240" s="199"/>
      <c r="F240" s="201"/>
      <c r="G240" s="199"/>
      <c r="H240" s="201"/>
      <c r="I240" s="241"/>
      <c r="J240" s="198"/>
      <c r="K240" s="198"/>
      <c r="L240" s="227"/>
      <c r="M240" s="224"/>
    </row>
    <row r="241" spans="2:13" ht="16.2" hidden="1" x14ac:dyDescent="0.3">
      <c r="B241" s="198"/>
      <c r="C241" s="199"/>
      <c r="D241" s="200"/>
      <c r="E241" s="201"/>
      <c r="F241" s="206"/>
      <c r="G241" s="201"/>
      <c r="H241" s="201"/>
      <c r="I241" s="241"/>
      <c r="J241" s="250"/>
      <c r="K241" s="198"/>
      <c r="L241" s="225"/>
      <c r="M241" s="206"/>
    </row>
    <row r="242" spans="2:13" ht="16.2" hidden="1" x14ac:dyDescent="0.3">
      <c r="B242" s="198"/>
      <c r="C242" s="199"/>
      <c r="D242" s="200"/>
      <c r="E242" s="201"/>
      <c r="F242" s="206"/>
      <c r="G242" s="201"/>
      <c r="H242" s="201"/>
      <c r="I242" s="241"/>
      <c r="J242" s="250"/>
      <c r="K242" s="198"/>
      <c r="L242" s="225"/>
      <c r="M242" s="206"/>
    </row>
    <row r="243" spans="2:13" ht="16.2" hidden="1" x14ac:dyDescent="0.3">
      <c r="B243" s="198"/>
      <c r="C243" s="199"/>
      <c r="D243" s="200"/>
      <c r="E243" s="200"/>
      <c r="F243" s="206"/>
      <c r="G243" s="201"/>
      <c r="H243" s="201"/>
      <c r="I243" s="241"/>
      <c r="J243" s="250"/>
      <c r="K243" s="198"/>
      <c r="L243" s="225"/>
      <c r="M243" s="206"/>
    </row>
    <row r="244" spans="2:13" ht="16.2" hidden="1" x14ac:dyDescent="0.3">
      <c r="B244" s="198"/>
      <c r="C244" s="199"/>
      <c r="D244" s="200"/>
      <c r="E244" s="200"/>
      <c r="F244" s="206"/>
      <c r="G244" s="201"/>
      <c r="H244" s="201"/>
      <c r="I244" s="241"/>
      <c r="J244" s="250"/>
      <c r="K244" s="198"/>
      <c r="L244" s="225"/>
      <c r="M244" s="206"/>
    </row>
    <row r="245" spans="2:13" ht="16.2" hidden="1" x14ac:dyDescent="0.3">
      <c r="B245" s="198"/>
      <c r="C245" s="199"/>
      <c r="D245" s="200"/>
      <c r="E245" s="200"/>
      <c r="F245" s="199"/>
      <c r="G245" s="201"/>
      <c r="H245" s="201"/>
      <c r="I245" s="241"/>
      <c r="J245" s="198"/>
      <c r="K245" s="198"/>
      <c r="L245" s="227"/>
      <c r="M245" s="201"/>
    </row>
    <row r="246" spans="2:13" ht="16.2" hidden="1" x14ac:dyDescent="0.3">
      <c r="B246" s="198"/>
      <c r="C246" s="199"/>
      <c r="D246" s="200"/>
      <c r="E246" s="200"/>
      <c r="F246" s="199"/>
      <c r="G246" s="199"/>
      <c r="H246" s="201"/>
      <c r="I246" s="241"/>
      <c r="J246" s="198"/>
      <c r="K246" s="198"/>
      <c r="L246" s="227"/>
      <c r="M246" s="201"/>
    </row>
    <row r="247" spans="2:13" ht="16.2" hidden="1" x14ac:dyDescent="0.3">
      <c r="B247" s="198"/>
      <c r="C247" s="199"/>
      <c r="D247" s="200"/>
      <c r="E247" s="200"/>
      <c r="F247" s="199"/>
      <c r="G247" s="199"/>
      <c r="H247" s="201"/>
      <c r="I247" s="241"/>
      <c r="J247" s="198"/>
      <c r="K247" s="198"/>
      <c r="L247" s="227"/>
      <c r="M247" s="201"/>
    </row>
    <row r="248" spans="2:13" ht="16.2" hidden="1" x14ac:dyDescent="0.3">
      <c r="B248" s="198"/>
      <c r="C248" s="199"/>
      <c r="D248" s="200"/>
      <c r="E248" s="200"/>
      <c r="F248" s="199"/>
      <c r="G248" s="199"/>
      <c r="H248" s="201"/>
      <c r="I248" s="241"/>
      <c r="J248" s="198"/>
      <c r="K248" s="198"/>
      <c r="L248" s="227"/>
      <c r="M248" s="201"/>
    </row>
    <row r="249" spans="2:13" ht="16.2" hidden="1" x14ac:dyDescent="0.3">
      <c r="B249" s="198"/>
      <c r="C249" s="199"/>
      <c r="D249" s="200"/>
      <c r="E249" s="200"/>
      <c r="F249" s="199"/>
      <c r="G249" s="201"/>
      <c r="H249" s="201"/>
      <c r="I249" s="241"/>
      <c r="J249" s="198"/>
      <c r="K249" s="198"/>
      <c r="L249" s="227"/>
      <c r="M249" s="201"/>
    </row>
    <row r="250" spans="2:13" ht="16.2" hidden="1" x14ac:dyDescent="0.3">
      <c r="B250" s="198"/>
      <c r="C250" s="199"/>
      <c r="D250" s="200"/>
      <c r="E250" s="200"/>
      <c r="F250" s="199"/>
      <c r="G250" s="201"/>
      <c r="H250" s="201"/>
      <c r="I250" s="241"/>
      <c r="J250" s="198"/>
      <c r="K250" s="198"/>
      <c r="L250" s="227"/>
      <c r="M250" s="201"/>
    </row>
    <row r="251" spans="2:13" ht="16.2" hidden="1" x14ac:dyDescent="0.3">
      <c r="B251" s="198"/>
      <c r="C251" s="199"/>
      <c r="D251" s="200"/>
      <c r="E251" s="200"/>
      <c r="F251" s="199"/>
      <c r="G251" s="201"/>
      <c r="H251" s="201"/>
      <c r="I251" s="241"/>
      <c r="J251" s="198"/>
      <c r="K251" s="198"/>
      <c r="L251" s="227"/>
      <c r="M251" s="201"/>
    </row>
    <row r="252" spans="2:13" ht="16.2" hidden="1" x14ac:dyDescent="0.3">
      <c r="B252" s="198"/>
      <c r="C252" s="199"/>
      <c r="D252" s="200"/>
      <c r="E252" s="200"/>
      <c r="F252" s="200"/>
      <c r="G252" s="201"/>
      <c r="H252" s="201"/>
      <c r="I252" s="241"/>
      <c r="J252" s="198"/>
      <c r="K252" s="198"/>
      <c r="L252" s="227"/>
      <c r="M252" s="201"/>
    </row>
    <row r="253" spans="2:13" ht="16.2" hidden="1" x14ac:dyDescent="0.3">
      <c r="B253" s="198"/>
      <c r="C253" s="199"/>
      <c r="D253" s="200"/>
      <c r="E253" s="200"/>
      <c r="F253" s="200"/>
      <c r="G253" s="201"/>
      <c r="H253" s="201"/>
      <c r="I253" s="241"/>
      <c r="J253" s="198"/>
      <c r="K253" s="198"/>
      <c r="L253" s="227"/>
      <c r="M253" s="201"/>
    </row>
    <row r="254" spans="2:13" ht="16.2" hidden="1" x14ac:dyDescent="0.3">
      <c r="B254" s="198"/>
      <c r="C254" s="199"/>
      <c r="D254" s="200"/>
      <c r="E254" s="200"/>
      <c r="F254" s="200"/>
      <c r="G254" s="201"/>
      <c r="H254" s="201"/>
      <c r="I254" s="241"/>
      <c r="J254" s="198"/>
      <c r="K254" s="198"/>
      <c r="L254" s="227"/>
      <c r="M254" s="201"/>
    </row>
    <row r="255" spans="2:13" ht="16.2" hidden="1" x14ac:dyDescent="0.3">
      <c r="B255" s="198"/>
      <c r="C255" s="199"/>
      <c r="D255" s="200"/>
      <c r="E255" s="201"/>
      <c r="F255" s="206"/>
      <c r="G255" s="201"/>
      <c r="H255" s="201"/>
      <c r="I255" s="241"/>
      <c r="J255" s="250"/>
      <c r="K255" s="198"/>
      <c r="L255" s="225"/>
      <c r="M255" s="206"/>
    </row>
    <row r="256" spans="2:13" ht="16.2" hidden="1" x14ac:dyDescent="0.3">
      <c r="B256" s="198"/>
      <c r="C256" s="199"/>
      <c r="D256" s="200"/>
      <c r="E256" s="201"/>
      <c r="F256" s="206"/>
      <c r="G256" s="201"/>
      <c r="H256" s="201"/>
      <c r="I256" s="241"/>
      <c r="J256" s="250"/>
      <c r="K256" s="198"/>
      <c r="L256" s="225"/>
      <c r="M256" s="206"/>
    </row>
    <row r="257" spans="2:13" ht="16.2" hidden="1" x14ac:dyDescent="0.3">
      <c r="B257" s="198"/>
      <c r="C257" s="199"/>
      <c r="D257" s="200"/>
      <c r="E257" s="200"/>
      <c r="F257" s="206"/>
      <c r="G257" s="201"/>
      <c r="H257" s="201"/>
      <c r="I257" s="241"/>
      <c r="J257" s="250"/>
      <c r="K257" s="198"/>
      <c r="L257" s="225"/>
      <c r="M257" s="206"/>
    </row>
    <row r="258" spans="2:13" ht="16.2" hidden="1" x14ac:dyDescent="0.3">
      <c r="B258" s="198"/>
      <c r="C258" s="199"/>
      <c r="D258" s="200"/>
      <c r="E258" s="200"/>
      <c r="F258" s="206"/>
      <c r="G258" s="201"/>
      <c r="H258" s="201"/>
      <c r="I258" s="241"/>
      <c r="J258" s="250"/>
      <c r="K258" s="198"/>
      <c r="L258" s="225"/>
      <c r="M258" s="206"/>
    </row>
    <row r="259" spans="2:13" ht="16.2" hidden="1" x14ac:dyDescent="0.3">
      <c r="B259" s="198"/>
      <c r="C259" s="200"/>
      <c r="D259" s="200"/>
      <c r="E259" s="200"/>
      <c r="F259" s="199"/>
      <c r="G259" s="201"/>
      <c r="H259" s="201"/>
      <c r="I259" s="241"/>
      <c r="J259" s="198"/>
      <c r="K259" s="198"/>
      <c r="L259" s="227"/>
      <c r="M259" s="201"/>
    </row>
    <row r="260" spans="2:13" ht="16.2" hidden="1" x14ac:dyDescent="0.3">
      <c r="B260" s="198"/>
      <c r="C260" s="200"/>
      <c r="D260" s="200"/>
      <c r="E260" s="200"/>
      <c r="F260" s="199"/>
      <c r="G260" s="201"/>
      <c r="H260" s="201"/>
      <c r="I260" s="241"/>
      <c r="J260" s="198"/>
      <c r="K260" s="198"/>
      <c r="L260" s="227"/>
      <c r="M260" s="201"/>
    </row>
    <row r="261" spans="2:13" ht="16.2" hidden="1" x14ac:dyDescent="0.3">
      <c r="B261" s="198"/>
      <c r="C261" s="200"/>
      <c r="D261" s="200"/>
      <c r="E261" s="200"/>
      <c r="F261" s="199"/>
      <c r="G261" s="201"/>
      <c r="H261" s="201"/>
      <c r="I261" s="241"/>
      <c r="J261" s="198"/>
      <c r="K261" s="198"/>
      <c r="L261" s="227"/>
      <c r="M261" s="201"/>
    </row>
    <row r="262" spans="2:13" ht="16.2" hidden="1" x14ac:dyDescent="0.3">
      <c r="B262" s="198"/>
      <c r="C262" s="199"/>
      <c r="D262" s="200"/>
      <c r="E262" s="200"/>
      <c r="F262" s="199"/>
      <c r="G262" s="199"/>
      <c r="H262" s="201"/>
      <c r="I262" s="241"/>
      <c r="J262" s="198"/>
      <c r="K262" s="198"/>
      <c r="L262" s="231"/>
      <c r="M262" s="224"/>
    </row>
    <row r="263" spans="2:13" ht="16.2" hidden="1" x14ac:dyDescent="0.3">
      <c r="B263" s="198"/>
      <c r="C263" s="199"/>
      <c r="D263" s="200"/>
      <c r="E263" s="200"/>
      <c r="F263" s="199"/>
      <c r="G263" s="199"/>
      <c r="H263" s="201"/>
      <c r="I263" s="241"/>
      <c r="J263" s="198"/>
      <c r="K263" s="198"/>
      <c r="L263" s="227"/>
      <c r="M263" s="224"/>
    </row>
    <row r="264" spans="2:13" ht="16.2" hidden="1" x14ac:dyDescent="0.3">
      <c r="B264" s="198"/>
      <c r="C264" s="199"/>
      <c r="D264" s="200"/>
      <c r="E264" s="200"/>
      <c r="F264" s="199"/>
      <c r="G264" s="201"/>
      <c r="H264" s="201"/>
      <c r="I264" s="241"/>
      <c r="J264" s="198"/>
      <c r="K264" s="198"/>
      <c r="L264" s="239"/>
      <c r="M264" s="201"/>
    </row>
    <row r="265" spans="2:13" ht="16.2" hidden="1" x14ac:dyDescent="0.3">
      <c r="B265" s="198"/>
      <c r="C265" s="199"/>
      <c r="D265" s="200"/>
      <c r="E265" s="200"/>
      <c r="F265" s="199"/>
      <c r="G265" s="201"/>
      <c r="H265" s="201"/>
      <c r="I265" s="241"/>
      <c r="J265" s="198"/>
      <c r="K265" s="201"/>
      <c r="L265" s="227"/>
      <c r="M265" s="201"/>
    </row>
    <row r="266" spans="2:13" ht="16.2" hidden="1" x14ac:dyDescent="0.3">
      <c r="B266" s="198"/>
      <c r="C266" s="199"/>
      <c r="D266" s="200"/>
      <c r="E266" s="200"/>
      <c r="F266" s="199"/>
      <c r="G266" s="201"/>
      <c r="H266" s="201"/>
      <c r="I266" s="241"/>
      <c r="J266" s="198"/>
      <c r="K266" s="198"/>
      <c r="L266" s="227"/>
      <c r="M266" s="201"/>
    </row>
    <row r="267" spans="2:13" ht="16.2" hidden="1" x14ac:dyDescent="0.3">
      <c r="B267" s="238"/>
      <c r="C267" s="206"/>
      <c r="D267" s="200"/>
      <c r="E267" s="206"/>
      <c r="F267" s="206"/>
      <c r="G267" s="201"/>
      <c r="H267" s="201"/>
      <c r="I267" s="241"/>
      <c r="J267" s="238"/>
      <c r="K267" s="238"/>
      <c r="L267" s="231"/>
      <c r="M267" s="201"/>
    </row>
    <row r="268" spans="2:13" ht="16.2" hidden="1" x14ac:dyDescent="0.3">
      <c r="B268" s="198"/>
      <c r="C268" s="199"/>
      <c r="D268" s="200"/>
      <c r="E268" s="200"/>
      <c r="F268" s="199"/>
      <c r="G268" s="199"/>
      <c r="H268" s="201"/>
      <c r="I268" s="241"/>
      <c r="J268" s="198"/>
      <c r="K268" s="198"/>
      <c r="L268" s="227"/>
      <c r="M268" s="224"/>
    </row>
    <row r="269" spans="2:13" ht="16.2" hidden="1" x14ac:dyDescent="0.3">
      <c r="B269" s="198"/>
      <c r="C269" s="199"/>
      <c r="D269" s="200"/>
      <c r="E269" s="200"/>
      <c r="F269" s="200"/>
      <c r="G269" s="201"/>
      <c r="H269" s="201"/>
      <c r="I269" s="241"/>
      <c r="J269" s="198"/>
      <c r="K269" s="198"/>
      <c r="L269" s="227"/>
      <c r="M269" s="201"/>
    </row>
    <row r="270" spans="2:13" ht="16.2" hidden="1" x14ac:dyDescent="0.3">
      <c r="B270" s="238"/>
      <c r="C270" s="206"/>
      <c r="D270" s="200"/>
      <c r="E270" s="206"/>
      <c r="F270" s="206"/>
      <c r="G270" s="201"/>
      <c r="H270" s="201"/>
      <c r="I270" s="241"/>
      <c r="J270" s="238"/>
      <c r="K270" s="238"/>
      <c r="L270" s="231"/>
      <c r="M270" s="201"/>
    </row>
    <row r="271" spans="2:13" ht="16.2" hidden="1" x14ac:dyDescent="0.3">
      <c r="B271" s="238"/>
      <c r="C271" s="206"/>
      <c r="D271" s="200"/>
      <c r="E271" s="206"/>
      <c r="F271" s="206"/>
      <c r="G271" s="201"/>
      <c r="H271" s="201"/>
      <c r="I271" s="241"/>
      <c r="J271" s="238"/>
      <c r="K271" s="238"/>
      <c r="L271" s="231"/>
      <c r="M271" s="201"/>
    </row>
    <row r="272" spans="2:13" ht="16.2" hidden="1" x14ac:dyDescent="0.3">
      <c r="B272" s="198"/>
      <c r="C272" s="199"/>
      <c r="D272" s="200"/>
      <c r="E272" s="201"/>
      <c r="F272" s="206"/>
      <c r="G272" s="201"/>
      <c r="H272" s="201"/>
      <c r="I272" s="241"/>
      <c r="J272" s="238"/>
      <c r="K272" s="238"/>
      <c r="L272" s="227"/>
      <c r="M272" s="201"/>
    </row>
    <row r="273" spans="2:13" ht="16.2" hidden="1" x14ac:dyDescent="0.3">
      <c r="B273" s="198"/>
      <c r="C273" s="199"/>
      <c r="D273" s="200"/>
      <c r="E273" s="201"/>
      <c r="F273" s="206"/>
      <c r="G273" s="201"/>
      <c r="H273" s="201"/>
      <c r="I273" s="241"/>
      <c r="J273" s="238"/>
      <c r="K273" s="238"/>
      <c r="L273" s="227"/>
      <c r="M273" s="201"/>
    </row>
    <row r="274" spans="2:13" ht="16.2" hidden="1" x14ac:dyDescent="0.3">
      <c r="B274" s="198"/>
      <c r="C274" s="199"/>
      <c r="D274" s="200"/>
      <c r="E274" s="200"/>
      <c r="F274" s="199"/>
      <c r="G274" s="201"/>
      <c r="H274" s="201"/>
      <c r="I274" s="241"/>
      <c r="J274" s="198"/>
      <c r="K274" s="198"/>
      <c r="L274" s="227"/>
      <c r="M274" s="201"/>
    </row>
    <row r="275" spans="2:13" ht="16.2" hidden="1" x14ac:dyDescent="0.3">
      <c r="B275" s="198"/>
      <c r="C275" s="199"/>
      <c r="D275" s="200"/>
      <c r="E275" s="200"/>
      <c r="F275" s="199"/>
      <c r="G275" s="201"/>
      <c r="H275" s="201"/>
      <c r="I275" s="241"/>
      <c r="J275" s="198"/>
      <c r="K275" s="198"/>
      <c r="L275" s="227"/>
      <c r="M275" s="224"/>
    </row>
    <row r="276" spans="2:13" ht="15" hidden="1" customHeight="1" x14ac:dyDescent="0.3">
      <c r="B276" s="238"/>
      <c r="C276" s="206"/>
      <c r="D276" s="200"/>
      <c r="E276" s="201"/>
      <c r="F276" s="206"/>
      <c r="G276" s="201"/>
      <c r="H276" s="201"/>
      <c r="I276" s="241"/>
      <c r="J276" s="201"/>
      <c r="K276" s="238"/>
      <c r="L276" s="247"/>
      <c r="M276" s="226"/>
    </row>
    <row r="277" spans="2:13" ht="15" hidden="1" customHeight="1" x14ac:dyDescent="0.3">
      <c r="B277" s="198"/>
      <c r="C277" s="199"/>
      <c r="D277" s="200"/>
      <c r="E277" s="200"/>
      <c r="F277" s="200"/>
      <c r="G277" s="200"/>
      <c r="H277" s="201"/>
      <c r="I277" s="241"/>
      <c r="J277" s="198"/>
      <c r="K277" s="200"/>
      <c r="L277" s="227"/>
      <c r="M277" s="226"/>
    </row>
    <row r="278" spans="2:13" ht="15" hidden="1" customHeight="1" x14ac:dyDescent="0.3">
      <c r="B278" s="198"/>
      <c r="C278" s="199"/>
      <c r="D278" s="200"/>
      <c r="E278" s="200"/>
      <c r="F278" s="199"/>
      <c r="G278" s="201"/>
      <c r="H278" s="201"/>
      <c r="I278" s="241"/>
      <c r="J278" s="199"/>
      <c r="K278" s="198"/>
      <c r="L278" s="225"/>
      <c r="M278" s="226"/>
    </row>
    <row r="279" spans="2:13" ht="15" hidden="1" customHeight="1" x14ac:dyDescent="0.3">
      <c r="B279" s="198"/>
      <c r="C279" s="199"/>
      <c r="D279" s="200"/>
      <c r="E279" s="200"/>
      <c r="F279" s="199"/>
      <c r="G279" s="201"/>
      <c r="H279" s="201"/>
      <c r="I279" s="241"/>
      <c r="J279" s="199"/>
      <c r="K279" s="198"/>
      <c r="L279" s="225"/>
      <c r="M279" s="226"/>
    </row>
    <row r="280" spans="2:13" ht="15" customHeight="1" x14ac:dyDescent="0.3">
      <c r="B280" s="198">
        <v>43837</v>
      </c>
      <c r="C280" s="199" t="s">
        <v>130</v>
      </c>
      <c r="D280" s="200" t="s">
        <v>36</v>
      </c>
      <c r="E280" s="200" t="s">
        <v>131</v>
      </c>
      <c r="F280" s="199" t="s">
        <v>132</v>
      </c>
      <c r="G280" s="201" t="s">
        <v>116</v>
      </c>
      <c r="H280" s="201" t="s">
        <v>133</v>
      </c>
      <c r="I280" s="203" t="s">
        <v>71</v>
      </c>
      <c r="J280" s="198" t="s">
        <v>134</v>
      </c>
      <c r="K280" s="198" t="s">
        <v>39</v>
      </c>
      <c r="L280" s="225">
        <v>6807099</v>
      </c>
      <c r="M280" s="226" t="s">
        <v>20</v>
      </c>
    </row>
    <row r="281" spans="2:13" ht="15" customHeight="1" x14ac:dyDescent="0.3">
      <c r="B281" s="198">
        <v>43837</v>
      </c>
      <c r="C281" s="199" t="s">
        <v>135</v>
      </c>
      <c r="D281" s="200" t="s">
        <v>36</v>
      </c>
      <c r="E281" s="200" t="s">
        <v>131</v>
      </c>
      <c r="F281" s="199" t="s">
        <v>132</v>
      </c>
      <c r="G281" s="201" t="s">
        <v>116</v>
      </c>
      <c r="H281" s="201" t="s">
        <v>133</v>
      </c>
      <c r="I281" s="203" t="s">
        <v>71</v>
      </c>
      <c r="J281" s="198" t="s">
        <v>134</v>
      </c>
      <c r="K281" s="198" t="s">
        <v>39</v>
      </c>
      <c r="L281" s="225">
        <v>6807099</v>
      </c>
      <c r="M281" s="226" t="s">
        <v>20</v>
      </c>
    </row>
    <row r="282" spans="2:13" ht="15" customHeight="1" x14ac:dyDescent="0.3">
      <c r="B282" s="198">
        <v>43837</v>
      </c>
      <c r="C282" s="199" t="s">
        <v>136</v>
      </c>
      <c r="D282" s="200" t="s">
        <v>36</v>
      </c>
      <c r="E282" s="200" t="s">
        <v>131</v>
      </c>
      <c r="F282" s="199" t="s">
        <v>132</v>
      </c>
      <c r="G282" s="201" t="s">
        <v>116</v>
      </c>
      <c r="H282" s="201" t="s">
        <v>133</v>
      </c>
      <c r="I282" s="203" t="s">
        <v>71</v>
      </c>
      <c r="J282" s="198" t="s">
        <v>134</v>
      </c>
      <c r="K282" s="198" t="s">
        <v>39</v>
      </c>
      <c r="L282" s="225">
        <v>11580059</v>
      </c>
      <c r="M282" s="226" t="s">
        <v>20</v>
      </c>
    </row>
    <row r="283" spans="2:13" ht="15" customHeight="1" x14ac:dyDescent="0.3">
      <c r="B283" s="198">
        <v>43837</v>
      </c>
      <c r="C283" s="199" t="s">
        <v>130</v>
      </c>
      <c r="D283" s="200" t="s">
        <v>36</v>
      </c>
      <c r="E283" s="200" t="s">
        <v>131</v>
      </c>
      <c r="F283" s="199" t="s">
        <v>132</v>
      </c>
      <c r="G283" s="201" t="s">
        <v>116</v>
      </c>
      <c r="H283" s="206" t="s">
        <v>37</v>
      </c>
      <c r="I283" s="203" t="s">
        <v>97</v>
      </c>
      <c r="J283" s="198" t="s">
        <v>134</v>
      </c>
      <c r="K283" s="198" t="s">
        <v>33</v>
      </c>
      <c r="L283" s="225">
        <v>4105646</v>
      </c>
      <c r="M283" s="226" t="s">
        <v>20</v>
      </c>
    </row>
    <row r="284" spans="2:13" ht="15" customHeight="1" x14ac:dyDescent="0.3">
      <c r="B284" s="198">
        <v>43837</v>
      </c>
      <c r="C284" s="199" t="s">
        <v>135</v>
      </c>
      <c r="D284" s="200" t="s">
        <v>36</v>
      </c>
      <c r="E284" s="200" t="s">
        <v>131</v>
      </c>
      <c r="F284" s="199" t="s">
        <v>132</v>
      </c>
      <c r="G284" s="201" t="s">
        <v>116</v>
      </c>
      <c r="H284" s="206" t="s">
        <v>37</v>
      </c>
      <c r="I284" s="203" t="s">
        <v>97</v>
      </c>
      <c r="J284" s="198" t="s">
        <v>134</v>
      </c>
      <c r="K284" s="198" t="s">
        <v>33</v>
      </c>
      <c r="L284" s="225">
        <v>4105646</v>
      </c>
      <c r="M284" s="226" t="s">
        <v>20</v>
      </c>
    </row>
    <row r="285" spans="2:13" ht="15" customHeight="1" x14ac:dyDescent="0.3">
      <c r="B285" s="198">
        <v>43837</v>
      </c>
      <c r="C285" s="228" t="s">
        <v>136</v>
      </c>
      <c r="D285" s="200" t="s">
        <v>36</v>
      </c>
      <c r="E285" s="200" t="s">
        <v>131</v>
      </c>
      <c r="F285" s="199" t="s">
        <v>132</v>
      </c>
      <c r="G285" s="201" t="s">
        <v>116</v>
      </c>
      <c r="H285" s="206" t="s">
        <v>37</v>
      </c>
      <c r="I285" s="203" t="s">
        <v>97</v>
      </c>
      <c r="J285" s="198" t="s">
        <v>134</v>
      </c>
      <c r="K285" s="198" t="s">
        <v>33</v>
      </c>
      <c r="L285" s="225">
        <v>10099674</v>
      </c>
      <c r="M285" s="226" t="s">
        <v>20</v>
      </c>
    </row>
    <row r="286" spans="2:13" ht="15" customHeight="1" x14ac:dyDescent="0.3">
      <c r="B286" s="198">
        <v>43837</v>
      </c>
      <c r="C286" s="228" t="s">
        <v>136</v>
      </c>
      <c r="D286" s="200" t="s">
        <v>36</v>
      </c>
      <c r="E286" s="200" t="s">
        <v>131</v>
      </c>
      <c r="F286" s="199" t="s">
        <v>132</v>
      </c>
      <c r="G286" s="201" t="s">
        <v>137</v>
      </c>
      <c r="H286" s="206" t="s">
        <v>138</v>
      </c>
      <c r="I286" s="203" t="s">
        <v>71</v>
      </c>
      <c r="J286" s="198" t="s">
        <v>134</v>
      </c>
      <c r="K286" s="198" t="s">
        <v>39</v>
      </c>
      <c r="L286" s="225">
        <v>1235983</v>
      </c>
      <c r="M286" s="226" t="s">
        <v>20</v>
      </c>
    </row>
    <row r="287" spans="2:13" ht="15" customHeight="1" x14ac:dyDescent="0.3">
      <c r="B287" s="198">
        <v>43837</v>
      </c>
      <c r="C287" s="199" t="s">
        <v>135</v>
      </c>
      <c r="D287" s="200" t="s">
        <v>36</v>
      </c>
      <c r="E287" s="200" t="s">
        <v>131</v>
      </c>
      <c r="F287" s="199" t="s">
        <v>132</v>
      </c>
      <c r="G287" s="201" t="s">
        <v>137</v>
      </c>
      <c r="H287" s="201" t="s">
        <v>138</v>
      </c>
      <c r="I287" s="203" t="s">
        <v>71</v>
      </c>
      <c r="J287" s="198" t="s">
        <v>134</v>
      </c>
      <c r="K287" s="198" t="s">
        <v>39</v>
      </c>
      <c r="L287" s="225">
        <v>1235983</v>
      </c>
      <c r="M287" s="226" t="s">
        <v>20</v>
      </c>
    </row>
    <row r="288" spans="2:13" ht="15" customHeight="1" x14ac:dyDescent="0.3">
      <c r="B288" s="198">
        <v>43837</v>
      </c>
      <c r="C288" s="199" t="s">
        <v>130</v>
      </c>
      <c r="D288" s="200" t="s">
        <v>36</v>
      </c>
      <c r="E288" s="200" t="s">
        <v>131</v>
      </c>
      <c r="F288" s="199" t="s">
        <v>132</v>
      </c>
      <c r="G288" s="201" t="s">
        <v>137</v>
      </c>
      <c r="H288" s="201" t="s">
        <v>138</v>
      </c>
      <c r="I288" s="203" t="s">
        <v>71</v>
      </c>
      <c r="J288" s="198" t="s">
        <v>134</v>
      </c>
      <c r="K288" s="198" t="s">
        <v>39</v>
      </c>
      <c r="L288" s="225">
        <v>1235983</v>
      </c>
      <c r="M288" s="226" t="s">
        <v>20</v>
      </c>
    </row>
    <row r="289" spans="2:13" ht="15" customHeight="1" x14ac:dyDescent="0.3">
      <c r="B289" s="198">
        <v>43851</v>
      </c>
      <c r="C289" s="228" t="s">
        <v>136</v>
      </c>
      <c r="D289" s="200" t="s">
        <v>36</v>
      </c>
      <c r="E289" s="200" t="s">
        <v>131</v>
      </c>
      <c r="F289" s="199" t="s">
        <v>132</v>
      </c>
      <c r="G289" s="201" t="s">
        <v>137</v>
      </c>
      <c r="H289" s="201" t="s">
        <v>32</v>
      </c>
      <c r="I289" s="203" t="s">
        <v>97</v>
      </c>
      <c r="J289" s="198">
        <v>43853</v>
      </c>
      <c r="K289" s="198" t="s">
        <v>39</v>
      </c>
      <c r="L289" s="225">
        <v>159307</v>
      </c>
      <c r="M289" s="226" t="s">
        <v>20</v>
      </c>
    </row>
    <row r="290" spans="2:13" ht="15" customHeight="1" x14ac:dyDescent="0.3">
      <c r="B290" s="198">
        <v>43851</v>
      </c>
      <c r="C290" s="199" t="s">
        <v>130</v>
      </c>
      <c r="D290" s="200" t="s">
        <v>36</v>
      </c>
      <c r="E290" s="200" t="s">
        <v>131</v>
      </c>
      <c r="F290" s="199" t="s">
        <v>132</v>
      </c>
      <c r="G290" s="201" t="s">
        <v>137</v>
      </c>
      <c r="H290" s="201" t="s">
        <v>32</v>
      </c>
      <c r="I290" s="203" t="s">
        <v>97</v>
      </c>
      <c r="J290" s="198">
        <v>43853</v>
      </c>
      <c r="K290" s="198" t="s">
        <v>39</v>
      </c>
      <c r="L290" s="234">
        <v>456529</v>
      </c>
      <c r="M290" s="226" t="s">
        <v>20</v>
      </c>
    </row>
    <row r="291" spans="2:13" ht="15" customHeight="1" x14ac:dyDescent="0.3">
      <c r="B291" s="198">
        <v>43851</v>
      </c>
      <c r="C291" s="199" t="s">
        <v>213</v>
      </c>
      <c r="D291" s="200" t="s">
        <v>36</v>
      </c>
      <c r="E291" s="200" t="s">
        <v>131</v>
      </c>
      <c r="F291" s="199" t="s">
        <v>132</v>
      </c>
      <c r="G291" s="201" t="s">
        <v>137</v>
      </c>
      <c r="H291" s="201" t="s">
        <v>32</v>
      </c>
      <c r="I291" s="203" t="s">
        <v>97</v>
      </c>
      <c r="J291" s="198">
        <v>43853</v>
      </c>
      <c r="K291" s="198" t="s">
        <v>39</v>
      </c>
      <c r="L291" s="227">
        <v>456529</v>
      </c>
      <c r="M291" s="226" t="s">
        <v>20</v>
      </c>
    </row>
    <row r="292" spans="2:13" ht="15" customHeight="1" x14ac:dyDescent="0.3">
      <c r="B292" s="198">
        <v>43851</v>
      </c>
      <c r="C292" s="199" t="s">
        <v>136</v>
      </c>
      <c r="D292" s="200" t="s">
        <v>36</v>
      </c>
      <c r="E292" s="200" t="s">
        <v>131</v>
      </c>
      <c r="F292" s="199" t="s">
        <v>132</v>
      </c>
      <c r="G292" s="201" t="s">
        <v>137</v>
      </c>
      <c r="H292" s="201" t="s">
        <v>214</v>
      </c>
      <c r="I292" s="203" t="s">
        <v>71</v>
      </c>
      <c r="J292" s="198">
        <v>43853</v>
      </c>
      <c r="K292" s="198" t="s">
        <v>39</v>
      </c>
      <c r="L292" s="227">
        <v>1241599</v>
      </c>
      <c r="M292" s="226" t="s">
        <v>20</v>
      </c>
    </row>
    <row r="293" spans="2:13" ht="15" customHeight="1" x14ac:dyDescent="0.3">
      <c r="B293" s="198">
        <v>43851</v>
      </c>
      <c r="C293" s="199" t="s">
        <v>130</v>
      </c>
      <c r="D293" s="200" t="s">
        <v>36</v>
      </c>
      <c r="E293" s="200" t="s">
        <v>131</v>
      </c>
      <c r="F293" s="199" t="s">
        <v>132</v>
      </c>
      <c r="G293" s="201" t="s">
        <v>137</v>
      </c>
      <c r="H293" s="201" t="s">
        <v>214</v>
      </c>
      <c r="I293" s="203" t="s">
        <v>71</v>
      </c>
      <c r="J293" s="198">
        <v>43853</v>
      </c>
      <c r="K293" s="198" t="s">
        <v>39</v>
      </c>
      <c r="L293" s="227">
        <v>935974</v>
      </c>
      <c r="M293" s="226" t="s">
        <v>20</v>
      </c>
    </row>
    <row r="294" spans="2:13" ht="15" customHeight="1" x14ac:dyDescent="0.3">
      <c r="B294" s="198">
        <v>43851</v>
      </c>
      <c r="C294" s="199" t="s">
        <v>213</v>
      </c>
      <c r="D294" s="200" t="s">
        <v>36</v>
      </c>
      <c r="E294" s="200" t="s">
        <v>131</v>
      </c>
      <c r="F294" s="199" t="s">
        <v>132</v>
      </c>
      <c r="G294" s="201" t="s">
        <v>137</v>
      </c>
      <c r="H294" s="201" t="s">
        <v>214</v>
      </c>
      <c r="I294" s="203" t="s">
        <v>71</v>
      </c>
      <c r="J294" s="198">
        <v>43853</v>
      </c>
      <c r="K294" s="198" t="s">
        <v>39</v>
      </c>
      <c r="L294" s="235">
        <v>935974</v>
      </c>
      <c r="M294" s="226" t="s">
        <v>20</v>
      </c>
    </row>
    <row r="295" spans="2:13" ht="15" customHeight="1" x14ac:dyDescent="0.3">
      <c r="B295" s="198">
        <v>43851</v>
      </c>
      <c r="C295" s="201" t="s">
        <v>207</v>
      </c>
      <c r="D295" s="200" t="s">
        <v>36</v>
      </c>
      <c r="E295" s="200" t="s">
        <v>208</v>
      </c>
      <c r="F295" s="199" t="s">
        <v>209</v>
      </c>
      <c r="G295" s="201" t="s">
        <v>116</v>
      </c>
      <c r="H295" s="201" t="s">
        <v>192</v>
      </c>
      <c r="I295" s="201" t="s">
        <v>85</v>
      </c>
      <c r="J295" s="198" t="s">
        <v>210</v>
      </c>
      <c r="K295" s="198" t="s">
        <v>33</v>
      </c>
      <c r="L295" s="234">
        <v>3643453</v>
      </c>
      <c r="M295" s="226" t="s">
        <v>20</v>
      </c>
    </row>
    <row r="296" spans="2:13" ht="15" customHeight="1" x14ac:dyDescent="0.3">
      <c r="B296" s="198">
        <v>43851</v>
      </c>
      <c r="C296" s="228" t="s">
        <v>211</v>
      </c>
      <c r="D296" s="200" t="s">
        <v>36</v>
      </c>
      <c r="E296" s="200" t="s">
        <v>208</v>
      </c>
      <c r="F296" s="199" t="s">
        <v>209</v>
      </c>
      <c r="G296" s="201" t="s">
        <v>116</v>
      </c>
      <c r="H296" s="201" t="s">
        <v>192</v>
      </c>
      <c r="I296" s="201" t="s">
        <v>85</v>
      </c>
      <c r="J296" s="198" t="s">
        <v>210</v>
      </c>
      <c r="K296" s="198" t="s">
        <v>33</v>
      </c>
      <c r="L296" s="234">
        <v>3643453</v>
      </c>
      <c r="M296" s="226" t="s">
        <v>20</v>
      </c>
    </row>
    <row r="297" spans="2:13" ht="15" customHeight="1" x14ac:dyDescent="0.3">
      <c r="B297" s="198">
        <v>43851</v>
      </c>
      <c r="C297" s="228" t="s">
        <v>212</v>
      </c>
      <c r="D297" s="200" t="s">
        <v>36</v>
      </c>
      <c r="E297" s="200" t="s">
        <v>208</v>
      </c>
      <c r="F297" s="199" t="s">
        <v>209</v>
      </c>
      <c r="G297" s="201" t="s">
        <v>116</v>
      </c>
      <c r="H297" s="201" t="s">
        <v>192</v>
      </c>
      <c r="I297" s="201" t="s">
        <v>85</v>
      </c>
      <c r="J297" s="198" t="s">
        <v>210</v>
      </c>
      <c r="K297" s="198" t="s">
        <v>33</v>
      </c>
      <c r="L297" s="234">
        <v>3643453</v>
      </c>
      <c r="M297" s="226" t="s">
        <v>20</v>
      </c>
    </row>
    <row r="298" spans="2:13" ht="15" hidden="1" customHeight="1" x14ac:dyDescent="0.3">
      <c r="B298" s="198"/>
      <c r="C298" s="199"/>
      <c r="D298" s="200"/>
      <c r="E298" s="224"/>
      <c r="F298" s="201"/>
      <c r="G298" s="201"/>
      <c r="H298" s="201"/>
      <c r="I298" s="203"/>
      <c r="J298" s="198"/>
      <c r="K298" s="198"/>
      <c r="L298" s="225"/>
      <c r="M298" s="226"/>
    </row>
    <row r="299" spans="2:13" ht="15" hidden="1" customHeight="1" x14ac:dyDescent="0.3">
      <c r="B299" s="198"/>
      <c r="C299" s="199"/>
      <c r="D299" s="200"/>
      <c r="E299" s="224"/>
      <c r="F299" s="201"/>
      <c r="G299" s="201"/>
      <c r="H299" s="201"/>
      <c r="I299" s="203"/>
      <c r="J299" s="198"/>
      <c r="K299" s="198"/>
      <c r="L299" s="225"/>
      <c r="M299" s="226"/>
    </row>
    <row r="300" spans="2:13" ht="15" hidden="1" customHeight="1" x14ac:dyDescent="0.3">
      <c r="B300" s="198"/>
      <c r="C300" s="199"/>
      <c r="D300" s="200"/>
      <c r="E300" s="201"/>
      <c r="F300" s="199"/>
      <c r="G300" s="201"/>
      <c r="H300" s="201"/>
      <c r="I300" s="269"/>
      <c r="J300" s="198"/>
      <c r="K300" s="198"/>
      <c r="L300" s="232"/>
      <c r="M300" s="226"/>
    </row>
    <row r="301" spans="2:13" ht="15" customHeight="1" x14ac:dyDescent="0.3">
      <c r="B301" s="198">
        <v>43855</v>
      </c>
      <c r="C301" s="199" t="s">
        <v>400</v>
      </c>
      <c r="D301" s="200" t="s">
        <v>36</v>
      </c>
      <c r="E301" s="224" t="s">
        <v>340</v>
      </c>
      <c r="F301" s="201" t="s">
        <v>401</v>
      </c>
      <c r="G301" s="224" t="s">
        <v>382</v>
      </c>
      <c r="H301" s="201" t="s">
        <v>402</v>
      </c>
      <c r="I301" s="241" t="s">
        <v>97</v>
      </c>
      <c r="J301" s="256" t="s">
        <v>42</v>
      </c>
      <c r="K301" s="198" t="s">
        <v>33</v>
      </c>
      <c r="L301" s="270">
        <v>6796066</v>
      </c>
      <c r="M301" s="226" t="s">
        <v>19</v>
      </c>
    </row>
    <row r="302" spans="2:13" ht="15" customHeight="1" x14ac:dyDescent="0.3">
      <c r="B302" s="198">
        <v>43855</v>
      </c>
      <c r="C302" s="248" t="s">
        <v>403</v>
      </c>
      <c r="D302" s="200" t="s">
        <v>36</v>
      </c>
      <c r="E302" s="224" t="s">
        <v>340</v>
      </c>
      <c r="F302" s="201" t="s">
        <v>401</v>
      </c>
      <c r="G302" s="224" t="s">
        <v>382</v>
      </c>
      <c r="H302" s="201" t="s">
        <v>402</v>
      </c>
      <c r="I302" s="241" t="s">
        <v>97</v>
      </c>
      <c r="J302" s="256" t="s">
        <v>42</v>
      </c>
      <c r="K302" s="198" t="s">
        <v>33</v>
      </c>
      <c r="L302" s="270">
        <v>6796066</v>
      </c>
      <c r="M302" s="226" t="s">
        <v>19</v>
      </c>
    </row>
    <row r="303" spans="2:13" ht="15" customHeight="1" x14ac:dyDescent="0.3">
      <c r="B303" s="198">
        <v>43855</v>
      </c>
      <c r="C303" s="228" t="s">
        <v>404</v>
      </c>
      <c r="D303" s="200" t="s">
        <v>36</v>
      </c>
      <c r="E303" s="224" t="s">
        <v>340</v>
      </c>
      <c r="F303" s="201" t="s">
        <v>401</v>
      </c>
      <c r="G303" s="224" t="s">
        <v>382</v>
      </c>
      <c r="H303" s="201" t="s">
        <v>402</v>
      </c>
      <c r="I303" s="241" t="s">
        <v>97</v>
      </c>
      <c r="J303" s="256" t="s">
        <v>42</v>
      </c>
      <c r="K303" s="198" t="s">
        <v>33</v>
      </c>
      <c r="L303" s="270">
        <v>6796066</v>
      </c>
      <c r="M303" s="226" t="s">
        <v>19</v>
      </c>
    </row>
    <row r="304" spans="2:13" ht="15" customHeight="1" x14ac:dyDescent="0.3">
      <c r="B304" s="198">
        <v>43855</v>
      </c>
      <c r="C304" s="228" t="s">
        <v>405</v>
      </c>
      <c r="D304" s="200" t="s">
        <v>36</v>
      </c>
      <c r="E304" s="224" t="s">
        <v>340</v>
      </c>
      <c r="F304" s="201" t="s">
        <v>401</v>
      </c>
      <c r="G304" s="224" t="s">
        <v>382</v>
      </c>
      <c r="H304" s="201" t="s">
        <v>402</v>
      </c>
      <c r="I304" s="241" t="s">
        <v>97</v>
      </c>
      <c r="J304" s="256" t="s">
        <v>42</v>
      </c>
      <c r="K304" s="198" t="s">
        <v>33</v>
      </c>
      <c r="L304" s="270">
        <v>6796066</v>
      </c>
      <c r="M304" s="226" t="s">
        <v>19</v>
      </c>
    </row>
    <row r="305" spans="2:13" ht="15" customHeight="1" x14ac:dyDescent="0.3">
      <c r="B305" s="198">
        <v>43855</v>
      </c>
      <c r="C305" s="199" t="s">
        <v>400</v>
      </c>
      <c r="D305" s="200" t="s">
        <v>36</v>
      </c>
      <c r="E305" s="224" t="s">
        <v>340</v>
      </c>
      <c r="F305" s="258" t="s">
        <v>401</v>
      </c>
      <c r="G305" s="224" t="s">
        <v>382</v>
      </c>
      <c r="H305" s="201" t="s">
        <v>406</v>
      </c>
      <c r="I305" s="241" t="s">
        <v>97</v>
      </c>
      <c r="J305" s="256" t="s">
        <v>407</v>
      </c>
      <c r="K305" s="198" t="s">
        <v>39</v>
      </c>
      <c r="L305" s="271">
        <v>1814400</v>
      </c>
      <c r="M305" s="226" t="s">
        <v>20</v>
      </c>
    </row>
    <row r="306" spans="2:13" ht="15" customHeight="1" x14ac:dyDescent="0.3">
      <c r="B306" s="198">
        <v>43855</v>
      </c>
      <c r="C306" s="248" t="s">
        <v>403</v>
      </c>
      <c r="D306" s="200" t="s">
        <v>36</v>
      </c>
      <c r="E306" s="224" t="s">
        <v>340</v>
      </c>
      <c r="F306" s="258" t="s">
        <v>401</v>
      </c>
      <c r="G306" s="224" t="s">
        <v>382</v>
      </c>
      <c r="H306" s="201" t="s">
        <v>406</v>
      </c>
      <c r="I306" s="241" t="s">
        <v>97</v>
      </c>
      <c r="J306" s="256" t="s">
        <v>407</v>
      </c>
      <c r="K306" s="198" t="s">
        <v>39</v>
      </c>
      <c r="L306" s="271">
        <v>1814400</v>
      </c>
      <c r="M306" s="226" t="s">
        <v>20</v>
      </c>
    </row>
    <row r="307" spans="2:13" ht="15" customHeight="1" x14ac:dyDescent="0.3">
      <c r="B307" s="198">
        <v>43855</v>
      </c>
      <c r="C307" s="228" t="s">
        <v>404</v>
      </c>
      <c r="D307" s="200" t="s">
        <v>36</v>
      </c>
      <c r="E307" s="224" t="s">
        <v>340</v>
      </c>
      <c r="F307" s="258" t="s">
        <v>401</v>
      </c>
      <c r="G307" s="224" t="s">
        <v>382</v>
      </c>
      <c r="H307" s="201" t="s">
        <v>406</v>
      </c>
      <c r="I307" s="241" t="s">
        <v>97</v>
      </c>
      <c r="J307" s="256" t="s">
        <v>407</v>
      </c>
      <c r="K307" s="198" t="s">
        <v>39</v>
      </c>
      <c r="L307" s="271">
        <v>1814400</v>
      </c>
      <c r="M307" s="226" t="s">
        <v>20</v>
      </c>
    </row>
    <row r="308" spans="2:13" ht="15" customHeight="1" x14ac:dyDescent="0.3">
      <c r="B308" s="198">
        <v>43855</v>
      </c>
      <c r="C308" s="228" t="s">
        <v>405</v>
      </c>
      <c r="D308" s="200" t="s">
        <v>36</v>
      </c>
      <c r="E308" s="224" t="s">
        <v>340</v>
      </c>
      <c r="F308" s="258" t="s">
        <v>401</v>
      </c>
      <c r="G308" s="224" t="s">
        <v>382</v>
      </c>
      <c r="H308" s="201" t="s">
        <v>406</v>
      </c>
      <c r="I308" s="241" t="s">
        <v>97</v>
      </c>
      <c r="J308" s="256" t="s">
        <v>407</v>
      </c>
      <c r="K308" s="198" t="s">
        <v>39</v>
      </c>
      <c r="L308" s="271">
        <v>1814400</v>
      </c>
      <c r="M308" s="226" t="s">
        <v>20</v>
      </c>
    </row>
    <row r="309" spans="2:13" ht="15" customHeight="1" x14ac:dyDescent="0.3">
      <c r="B309" s="198">
        <v>43843</v>
      </c>
      <c r="C309" s="207" t="s">
        <v>157</v>
      </c>
      <c r="D309" s="200" t="s">
        <v>36</v>
      </c>
      <c r="E309" s="224" t="s">
        <v>158</v>
      </c>
      <c r="F309" s="258" t="s">
        <v>126</v>
      </c>
      <c r="G309" s="201" t="s">
        <v>116</v>
      </c>
      <c r="H309" s="206" t="s">
        <v>159</v>
      </c>
      <c r="I309" s="269" t="s">
        <v>101</v>
      </c>
      <c r="J309" s="198">
        <v>44181</v>
      </c>
      <c r="K309" s="198" t="s">
        <v>40</v>
      </c>
      <c r="L309" s="225">
        <v>10204000</v>
      </c>
      <c r="M309" s="226" t="s">
        <v>20</v>
      </c>
    </row>
    <row r="310" spans="2:13" ht="15" customHeight="1" x14ac:dyDescent="0.3">
      <c r="B310" s="198">
        <v>43843</v>
      </c>
      <c r="C310" s="207" t="s">
        <v>160</v>
      </c>
      <c r="D310" s="200" t="s">
        <v>36</v>
      </c>
      <c r="E310" s="224" t="s">
        <v>158</v>
      </c>
      <c r="F310" s="258" t="s">
        <v>126</v>
      </c>
      <c r="G310" s="201" t="s">
        <v>116</v>
      </c>
      <c r="H310" s="206" t="s">
        <v>159</v>
      </c>
      <c r="I310" s="269" t="s">
        <v>101</v>
      </c>
      <c r="J310" s="198">
        <v>44181</v>
      </c>
      <c r="K310" s="198" t="s">
        <v>40</v>
      </c>
      <c r="L310" s="225">
        <v>10204000</v>
      </c>
      <c r="M310" s="226" t="s">
        <v>20</v>
      </c>
    </row>
    <row r="311" spans="2:13" ht="15" customHeight="1" x14ac:dyDescent="0.3">
      <c r="B311" s="198">
        <v>43843</v>
      </c>
      <c r="C311" s="207" t="s">
        <v>157</v>
      </c>
      <c r="D311" s="200" t="s">
        <v>36</v>
      </c>
      <c r="E311" s="224" t="s">
        <v>158</v>
      </c>
      <c r="F311" s="258" t="s">
        <v>126</v>
      </c>
      <c r="G311" s="201" t="s">
        <v>116</v>
      </c>
      <c r="H311" s="206" t="s">
        <v>161</v>
      </c>
      <c r="I311" s="260" t="s">
        <v>84</v>
      </c>
      <c r="J311" s="198">
        <v>44181</v>
      </c>
      <c r="K311" s="198" t="s">
        <v>162</v>
      </c>
      <c r="L311" s="225">
        <v>5855024</v>
      </c>
      <c r="M311" s="226" t="s">
        <v>20</v>
      </c>
    </row>
    <row r="312" spans="2:13" ht="15" customHeight="1" x14ac:dyDescent="0.3">
      <c r="B312" s="198">
        <v>43843</v>
      </c>
      <c r="C312" s="207" t="s">
        <v>160</v>
      </c>
      <c r="D312" s="200" t="s">
        <v>36</v>
      </c>
      <c r="E312" s="224" t="s">
        <v>158</v>
      </c>
      <c r="F312" s="258" t="s">
        <v>126</v>
      </c>
      <c r="G312" s="201" t="s">
        <v>116</v>
      </c>
      <c r="H312" s="206" t="s">
        <v>159</v>
      </c>
      <c r="I312" s="269" t="s">
        <v>101</v>
      </c>
      <c r="J312" s="198">
        <v>44181</v>
      </c>
      <c r="K312" s="198" t="s">
        <v>162</v>
      </c>
      <c r="L312" s="225">
        <v>5855024</v>
      </c>
      <c r="M312" s="226" t="s">
        <v>20</v>
      </c>
    </row>
    <row r="313" spans="2:13" ht="15" customHeight="1" x14ac:dyDescent="0.3">
      <c r="B313" s="198">
        <v>43836</v>
      </c>
      <c r="C313" s="199" t="s">
        <v>113</v>
      </c>
      <c r="D313" s="200" t="s">
        <v>36</v>
      </c>
      <c r="E313" s="224" t="s">
        <v>114</v>
      </c>
      <c r="F313" s="201" t="s">
        <v>115</v>
      </c>
      <c r="G313" s="201" t="s">
        <v>116</v>
      </c>
      <c r="H313" s="201" t="s">
        <v>117</v>
      </c>
      <c r="I313" s="203" t="s">
        <v>97</v>
      </c>
      <c r="J313" s="198" t="s">
        <v>118</v>
      </c>
      <c r="K313" s="198" t="s">
        <v>33</v>
      </c>
      <c r="L313" s="225">
        <v>8911751</v>
      </c>
      <c r="M313" s="226" t="s">
        <v>20</v>
      </c>
    </row>
    <row r="314" spans="2:13" ht="15" customHeight="1" x14ac:dyDescent="0.3">
      <c r="B314" s="198">
        <v>43836</v>
      </c>
      <c r="C314" s="199" t="s">
        <v>119</v>
      </c>
      <c r="D314" s="200" t="s">
        <v>36</v>
      </c>
      <c r="E314" s="224" t="s">
        <v>114</v>
      </c>
      <c r="F314" s="201" t="s">
        <v>115</v>
      </c>
      <c r="G314" s="201" t="s">
        <v>116</v>
      </c>
      <c r="H314" s="201" t="s">
        <v>117</v>
      </c>
      <c r="I314" s="203" t="s">
        <v>97</v>
      </c>
      <c r="J314" s="198" t="s">
        <v>118</v>
      </c>
      <c r="K314" s="198" t="s">
        <v>33</v>
      </c>
      <c r="L314" s="225">
        <v>8911751</v>
      </c>
      <c r="M314" s="226" t="s">
        <v>20</v>
      </c>
    </row>
    <row r="315" spans="2:13" ht="15" customHeight="1" x14ac:dyDescent="0.3">
      <c r="B315" s="198">
        <v>43839</v>
      </c>
      <c r="C315" s="199" t="s">
        <v>113</v>
      </c>
      <c r="D315" s="200" t="s">
        <v>36</v>
      </c>
      <c r="E315" s="224" t="s">
        <v>114</v>
      </c>
      <c r="F315" s="203" t="s">
        <v>115</v>
      </c>
      <c r="G315" s="203" t="s">
        <v>137</v>
      </c>
      <c r="H315" s="201" t="s">
        <v>145</v>
      </c>
      <c r="I315" s="203" t="s">
        <v>97</v>
      </c>
      <c r="J315" s="198">
        <v>43840</v>
      </c>
      <c r="K315" s="198" t="s">
        <v>33</v>
      </c>
      <c r="L315" s="225">
        <v>318267</v>
      </c>
      <c r="M315" s="226" t="s">
        <v>20</v>
      </c>
    </row>
    <row r="316" spans="2:13" ht="15" customHeight="1" x14ac:dyDescent="0.3">
      <c r="B316" s="198">
        <v>43839</v>
      </c>
      <c r="C316" s="199" t="s">
        <v>119</v>
      </c>
      <c r="D316" s="200" t="s">
        <v>36</v>
      </c>
      <c r="E316" s="224" t="s">
        <v>114</v>
      </c>
      <c r="F316" s="203" t="s">
        <v>115</v>
      </c>
      <c r="G316" s="203" t="s">
        <v>137</v>
      </c>
      <c r="H316" s="201" t="s">
        <v>117</v>
      </c>
      <c r="I316" s="203" t="s">
        <v>97</v>
      </c>
      <c r="J316" s="198" t="s">
        <v>118</v>
      </c>
      <c r="K316" s="198" t="s">
        <v>33</v>
      </c>
      <c r="L316" s="225">
        <v>318267</v>
      </c>
      <c r="M316" s="226" t="s">
        <v>20</v>
      </c>
    </row>
    <row r="317" spans="2:13" ht="15" customHeight="1" x14ac:dyDescent="0.3">
      <c r="B317" s="198">
        <v>43844</v>
      </c>
      <c r="C317" s="199" t="s">
        <v>163</v>
      </c>
      <c r="D317" s="200" t="s">
        <v>36</v>
      </c>
      <c r="E317" s="224" t="s">
        <v>114</v>
      </c>
      <c r="F317" s="258" t="s">
        <v>115</v>
      </c>
      <c r="G317" s="203" t="s">
        <v>137</v>
      </c>
      <c r="H317" s="201" t="s">
        <v>32</v>
      </c>
      <c r="I317" s="203" t="s">
        <v>97</v>
      </c>
      <c r="J317" s="198">
        <v>43845</v>
      </c>
      <c r="K317" s="198" t="s">
        <v>33</v>
      </c>
      <c r="L317" s="232">
        <v>318614</v>
      </c>
      <c r="M317" s="226" t="s">
        <v>20</v>
      </c>
    </row>
    <row r="318" spans="2:13" ht="15" customHeight="1" x14ac:dyDescent="0.3">
      <c r="B318" s="198">
        <v>43844</v>
      </c>
      <c r="C318" s="199" t="s">
        <v>113</v>
      </c>
      <c r="D318" s="200" t="s">
        <v>36</v>
      </c>
      <c r="E318" s="224" t="s">
        <v>114</v>
      </c>
      <c r="F318" s="258" t="s">
        <v>115</v>
      </c>
      <c r="G318" s="203" t="s">
        <v>137</v>
      </c>
      <c r="H318" s="201" t="s">
        <v>32</v>
      </c>
      <c r="I318" s="203" t="s">
        <v>97</v>
      </c>
      <c r="J318" s="198">
        <v>43845</v>
      </c>
      <c r="K318" s="198" t="s">
        <v>33</v>
      </c>
      <c r="L318" s="232">
        <v>318614</v>
      </c>
      <c r="M318" s="226" t="s">
        <v>20</v>
      </c>
    </row>
    <row r="319" spans="2:13" ht="15" customHeight="1" x14ac:dyDescent="0.3">
      <c r="B319" s="198">
        <v>43839</v>
      </c>
      <c r="C319" s="252" t="s">
        <v>369</v>
      </c>
      <c r="D319" s="200" t="s">
        <v>36</v>
      </c>
      <c r="E319" s="224" t="s">
        <v>365</v>
      </c>
      <c r="F319" s="266" t="s">
        <v>366</v>
      </c>
      <c r="G319" s="260" t="s">
        <v>367</v>
      </c>
      <c r="H319" s="201" t="s">
        <v>368</v>
      </c>
      <c r="I319" s="241" t="s">
        <v>81</v>
      </c>
      <c r="J319" s="243" t="s">
        <v>370</v>
      </c>
      <c r="K319" s="198" t="s">
        <v>33</v>
      </c>
      <c r="L319" s="247">
        <v>1506464</v>
      </c>
      <c r="M319" s="226" t="s">
        <v>20</v>
      </c>
    </row>
    <row r="320" spans="2:13" ht="15" customHeight="1" x14ac:dyDescent="0.3">
      <c r="B320" s="198">
        <v>43855</v>
      </c>
      <c r="C320" s="199" t="s">
        <v>408</v>
      </c>
      <c r="D320" s="200" t="s">
        <v>36</v>
      </c>
      <c r="E320" s="201" t="s">
        <v>365</v>
      </c>
      <c r="F320" s="265" t="s">
        <v>366</v>
      </c>
      <c r="G320" s="205" t="s">
        <v>304</v>
      </c>
      <c r="H320" s="201" t="s">
        <v>409</v>
      </c>
      <c r="I320" s="241" t="s">
        <v>81</v>
      </c>
      <c r="J320" s="256">
        <v>43856</v>
      </c>
      <c r="K320" s="198" t="s">
        <v>33</v>
      </c>
      <c r="L320" s="225">
        <v>762176</v>
      </c>
      <c r="M320" s="226" t="s">
        <v>20</v>
      </c>
    </row>
    <row r="321" spans="2:13" ht="15" customHeight="1" x14ac:dyDescent="0.3">
      <c r="B321" s="198">
        <v>43858</v>
      </c>
      <c r="C321" s="199" t="s">
        <v>422</v>
      </c>
      <c r="D321" s="200" t="s">
        <v>36</v>
      </c>
      <c r="E321" s="224" t="s">
        <v>365</v>
      </c>
      <c r="F321" s="258" t="s">
        <v>418</v>
      </c>
      <c r="G321" s="267" t="s">
        <v>419</v>
      </c>
      <c r="H321" s="201" t="s">
        <v>420</v>
      </c>
      <c r="I321" s="241" t="s">
        <v>84</v>
      </c>
      <c r="J321" s="256" t="s">
        <v>423</v>
      </c>
      <c r="K321" s="198" t="s">
        <v>33</v>
      </c>
      <c r="L321" s="231">
        <v>1936254</v>
      </c>
      <c r="M321" s="226" t="s">
        <v>19</v>
      </c>
    </row>
    <row r="322" spans="2:13" ht="15" customHeight="1" x14ac:dyDescent="0.3">
      <c r="B322" s="198">
        <v>43859</v>
      </c>
      <c r="C322" s="199" t="s">
        <v>422</v>
      </c>
      <c r="D322" s="200" t="s">
        <v>36</v>
      </c>
      <c r="E322" s="224" t="s">
        <v>365</v>
      </c>
      <c r="F322" s="201" t="s">
        <v>418</v>
      </c>
      <c r="G322" s="261" t="s">
        <v>137</v>
      </c>
      <c r="H322" s="201" t="s">
        <v>420</v>
      </c>
      <c r="I322" s="241" t="s">
        <v>84</v>
      </c>
      <c r="J322" s="256" t="s">
        <v>428</v>
      </c>
      <c r="K322" s="198" t="s">
        <v>33</v>
      </c>
      <c r="L322" s="225">
        <v>627868</v>
      </c>
      <c r="M322" s="226" t="s">
        <v>19</v>
      </c>
    </row>
    <row r="323" spans="2:13" ht="23.4" x14ac:dyDescent="0.3">
      <c r="L323" s="262">
        <f>SUBTOTAL(9,L5:L322)</f>
        <v>843081884</v>
      </c>
    </row>
  </sheetData>
  <autoFilter ref="B4:M322">
    <filterColumn colId="1">
      <customFilters>
        <customFilter operator="notEqual" val=" "/>
      </customFilters>
    </filterColumn>
    <sortState ref="B5:M322">
      <sortCondition ref="D4:D322"/>
    </sortState>
  </autoFilter>
  <conditionalFormatting sqref="I158">
    <cfRule type="duplicateValues" dxfId="148" priority="165"/>
  </conditionalFormatting>
  <conditionalFormatting sqref="I159">
    <cfRule type="duplicateValues" dxfId="147" priority="164"/>
  </conditionalFormatting>
  <conditionalFormatting sqref="I160">
    <cfRule type="duplicateValues" dxfId="146" priority="163"/>
  </conditionalFormatting>
  <conditionalFormatting sqref="I161">
    <cfRule type="duplicateValues" dxfId="145" priority="162"/>
  </conditionalFormatting>
  <conditionalFormatting sqref="I162">
    <cfRule type="duplicateValues" dxfId="144" priority="161"/>
  </conditionalFormatting>
  <conditionalFormatting sqref="I165">
    <cfRule type="duplicateValues" dxfId="143" priority="158"/>
  </conditionalFormatting>
  <conditionalFormatting sqref="I166">
    <cfRule type="duplicateValues" dxfId="142" priority="157"/>
  </conditionalFormatting>
  <conditionalFormatting sqref="I167">
    <cfRule type="duplicateValues" dxfId="141" priority="156"/>
  </conditionalFormatting>
  <conditionalFormatting sqref="I168">
    <cfRule type="duplicateValues" dxfId="140" priority="155"/>
  </conditionalFormatting>
  <conditionalFormatting sqref="I169">
    <cfRule type="duplicateValues" dxfId="139" priority="154"/>
  </conditionalFormatting>
  <conditionalFormatting sqref="I170">
    <cfRule type="duplicateValues" dxfId="138" priority="153"/>
  </conditionalFormatting>
  <conditionalFormatting sqref="I171">
    <cfRule type="duplicateValues" dxfId="137" priority="152"/>
  </conditionalFormatting>
  <conditionalFormatting sqref="I172">
    <cfRule type="duplicateValues" dxfId="136" priority="151"/>
  </conditionalFormatting>
  <conditionalFormatting sqref="I173">
    <cfRule type="duplicateValues" dxfId="135" priority="150"/>
  </conditionalFormatting>
  <conditionalFormatting sqref="I174">
    <cfRule type="duplicateValues" dxfId="134" priority="149"/>
  </conditionalFormatting>
  <conditionalFormatting sqref="I176">
    <cfRule type="duplicateValues" dxfId="133" priority="147"/>
  </conditionalFormatting>
  <conditionalFormatting sqref="I177">
    <cfRule type="duplicateValues" dxfId="132" priority="146"/>
  </conditionalFormatting>
  <conditionalFormatting sqref="I179">
    <cfRule type="duplicateValues" dxfId="131" priority="145"/>
  </conditionalFormatting>
  <conditionalFormatting sqref="I178">
    <cfRule type="duplicateValues" dxfId="130" priority="144"/>
  </conditionalFormatting>
  <conditionalFormatting sqref="I180">
    <cfRule type="duplicateValues" dxfId="129" priority="143"/>
  </conditionalFormatting>
  <conditionalFormatting sqref="I212">
    <cfRule type="duplicateValues" dxfId="128" priority="137"/>
  </conditionalFormatting>
  <conditionalFormatting sqref="I213">
    <cfRule type="duplicateValues" dxfId="127" priority="136"/>
  </conditionalFormatting>
  <conditionalFormatting sqref="I214">
    <cfRule type="duplicateValues" dxfId="126" priority="135"/>
  </conditionalFormatting>
  <conditionalFormatting sqref="I202">
    <cfRule type="duplicateValues" dxfId="125" priority="134"/>
  </conditionalFormatting>
  <conditionalFormatting sqref="I201">
    <cfRule type="duplicateValues" dxfId="124" priority="133"/>
  </conditionalFormatting>
  <conditionalFormatting sqref="I209">
    <cfRule type="duplicateValues" dxfId="123" priority="132"/>
  </conditionalFormatting>
  <conditionalFormatting sqref="I210">
    <cfRule type="duplicateValues" dxfId="122" priority="131"/>
  </conditionalFormatting>
  <conditionalFormatting sqref="I232">
    <cfRule type="duplicateValues" dxfId="121" priority="130"/>
  </conditionalFormatting>
  <conditionalFormatting sqref="I233">
    <cfRule type="duplicateValues" dxfId="120" priority="129"/>
  </conditionalFormatting>
  <conditionalFormatting sqref="I252">
    <cfRule type="duplicateValues" dxfId="119" priority="128"/>
  </conditionalFormatting>
  <conditionalFormatting sqref="I268">
    <cfRule type="duplicateValues" dxfId="118" priority="127"/>
  </conditionalFormatting>
  <conditionalFormatting sqref="I269">
    <cfRule type="duplicateValues" dxfId="117" priority="126"/>
  </conditionalFormatting>
  <conditionalFormatting sqref="I271">
    <cfRule type="duplicateValues" dxfId="116" priority="125"/>
  </conditionalFormatting>
  <conditionalFormatting sqref="I270">
    <cfRule type="duplicateValues" dxfId="115" priority="124"/>
  </conditionalFormatting>
  <conditionalFormatting sqref="I272">
    <cfRule type="duplicateValues" dxfId="114" priority="123"/>
  </conditionalFormatting>
  <conditionalFormatting sqref="I273">
    <cfRule type="duplicateValues" dxfId="113" priority="122"/>
  </conditionalFormatting>
  <conditionalFormatting sqref="I196">
    <cfRule type="duplicateValues" dxfId="112" priority="118"/>
  </conditionalFormatting>
  <conditionalFormatting sqref="I198">
    <cfRule type="duplicateValues" dxfId="111" priority="117"/>
  </conditionalFormatting>
  <conditionalFormatting sqref="I215">
    <cfRule type="duplicateValues" dxfId="110" priority="116"/>
  </conditionalFormatting>
  <conditionalFormatting sqref="I220">
    <cfRule type="duplicateValues" dxfId="109" priority="114"/>
  </conditionalFormatting>
  <conditionalFormatting sqref="I221">
    <cfRule type="duplicateValues" dxfId="108" priority="113"/>
  </conditionalFormatting>
  <conditionalFormatting sqref="I222">
    <cfRule type="duplicateValues" dxfId="107" priority="112"/>
  </conditionalFormatting>
  <conditionalFormatting sqref="I223">
    <cfRule type="duplicateValues" dxfId="106" priority="111"/>
  </conditionalFormatting>
  <conditionalFormatting sqref="I239">
    <cfRule type="duplicateValues" dxfId="105" priority="110"/>
  </conditionalFormatting>
  <conditionalFormatting sqref="I241">
    <cfRule type="duplicateValues" dxfId="104" priority="109"/>
  </conditionalFormatting>
  <conditionalFormatting sqref="I242">
    <cfRule type="duplicateValues" dxfId="103" priority="108"/>
  </conditionalFormatting>
  <conditionalFormatting sqref="I243">
    <cfRule type="duplicateValues" dxfId="102" priority="107"/>
  </conditionalFormatting>
  <conditionalFormatting sqref="I244">
    <cfRule type="duplicateValues" dxfId="101" priority="106"/>
  </conditionalFormatting>
  <conditionalFormatting sqref="I246">
    <cfRule type="duplicateValues" dxfId="100" priority="105"/>
  </conditionalFormatting>
  <conditionalFormatting sqref="I247">
    <cfRule type="duplicateValues" dxfId="99" priority="104"/>
  </conditionalFormatting>
  <conditionalFormatting sqref="I248">
    <cfRule type="duplicateValues" dxfId="98" priority="103"/>
  </conditionalFormatting>
  <conditionalFormatting sqref="I249">
    <cfRule type="duplicateValues" dxfId="97" priority="102"/>
  </conditionalFormatting>
  <conditionalFormatting sqref="I250">
    <cfRule type="duplicateValues" dxfId="96" priority="101"/>
  </conditionalFormatting>
  <conditionalFormatting sqref="I251">
    <cfRule type="duplicateValues" dxfId="95" priority="100"/>
  </conditionalFormatting>
  <conditionalFormatting sqref="I253">
    <cfRule type="duplicateValues" dxfId="94" priority="99"/>
  </conditionalFormatting>
  <conditionalFormatting sqref="I254">
    <cfRule type="duplicateValues" dxfId="93" priority="98"/>
  </conditionalFormatting>
  <conditionalFormatting sqref="I240">
    <cfRule type="duplicateValues" dxfId="92" priority="97"/>
  </conditionalFormatting>
  <conditionalFormatting sqref="I266">
    <cfRule type="duplicateValues" dxfId="91" priority="96"/>
  </conditionalFormatting>
  <conditionalFormatting sqref="I267">
    <cfRule type="duplicateValues" dxfId="90" priority="95"/>
  </conditionalFormatting>
  <conditionalFormatting sqref="I265">
    <cfRule type="duplicateValues" dxfId="89" priority="94"/>
  </conditionalFormatting>
  <conditionalFormatting sqref="I264">
    <cfRule type="duplicateValues" dxfId="88" priority="93"/>
  </conditionalFormatting>
  <conditionalFormatting sqref="I274">
    <cfRule type="duplicateValues" dxfId="87" priority="92"/>
  </conditionalFormatting>
  <conditionalFormatting sqref="I259">
    <cfRule type="duplicateValues" dxfId="86" priority="91"/>
  </conditionalFormatting>
  <conditionalFormatting sqref="I260">
    <cfRule type="duplicateValues" dxfId="85" priority="90"/>
  </conditionalFormatting>
  <conditionalFormatting sqref="I261">
    <cfRule type="duplicateValues" dxfId="84" priority="89"/>
  </conditionalFormatting>
  <conditionalFormatting sqref="I234">
    <cfRule type="duplicateValues" dxfId="83" priority="88"/>
  </conditionalFormatting>
  <conditionalFormatting sqref="I235">
    <cfRule type="duplicateValues" dxfId="82" priority="87"/>
  </conditionalFormatting>
  <conditionalFormatting sqref="I236">
    <cfRule type="duplicateValues" dxfId="81" priority="86"/>
  </conditionalFormatting>
  <conditionalFormatting sqref="I237">
    <cfRule type="duplicateValues" dxfId="80" priority="85"/>
  </conditionalFormatting>
  <conditionalFormatting sqref="I217">
    <cfRule type="duplicateValues" dxfId="79" priority="84"/>
  </conditionalFormatting>
  <conditionalFormatting sqref="I216">
    <cfRule type="duplicateValues" dxfId="78" priority="83"/>
  </conditionalFormatting>
  <conditionalFormatting sqref="I229">
    <cfRule type="duplicateValues" dxfId="77" priority="82"/>
  </conditionalFormatting>
  <conditionalFormatting sqref="I230">
    <cfRule type="duplicateValues" dxfId="76" priority="81"/>
  </conditionalFormatting>
  <conditionalFormatting sqref="I238">
    <cfRule type="duplicateValues" dxfId="75" priority="80"/>
  </conditionalFormatting>
  <conditionalFormatting sqref="I255">
    <cfRule type="duplicateValues" dxfId="74" priority="79"/>
  </conditionalFormatting>
  <conditionalFormatting sqref="I256">
    <cfRule type="duplicateValues" dxfId="73" priority="78"/>
  </conditionalFormatting>
  <conditionalFormatting sqref="I257">
    <cfRule type="duplicateValues" dxfId="72" priority="77"/>
  </conditionalFormatting>
  <conditionalFormatting sqref="I258">
    <cfRule type="duplicateValues" dxfId="71" priority="76"/>
  </conditionalFormatting>
  <conditionalFormatting sqref="I262">
    <cfRule type="duplicateValues" dxfId="70" priority="75"/>
  </conditionalFormatting>
  <conditionalFormatting sqref="I263">
    <cfRule type="duplicateValues" dxfId="69" priority="74"/>
  </conditionalFormatting>
  <conditionalFormatting sqref="I275">
    <cfRule type="duplicateValues" dxfId="68" priority="73"/>
  </conditionalFormatting>
  <conditionalFormatting sqref="I245">
    <cfRule type="duplicateValues" dxfId="67" priority="72"/>
  </conditionalFormatting>
  <conditionalFormatting sqref="I231">
    <cfRule type="duplicateValues" dxfId="66" priority="71"/>
  </conditionalFormatting>
  <conditionalFormatting sqref="I227">
    <cfRule type="duplicateValues" dxfId="65" priority="70"/>
  </conditionalFormatting>
  <conditionalFormatting sqref="I225">
    <cfRule type="duplicateValues" dxfId="64" priority="69"/>
  </conditionalFormatting>
  <conditionalFormatting sqref="I224">
    <cfRule type="duplicateValues" dxfId="63" priority="68"/>
  </conditionalFormatting>
  <conditionalFormatting sqref="I226">
    <cfRule type="duplicateValues" dxfId="62" priority="67"/>
  </conditionalFormatting>
  <conditionalFormatting sqref="I228">
    <cfRule type="duplicateValues" dxfId="61" priority="66"/>
  </conditionalFormatting>
  <conditionalFormatting sqref="I218">
    <cfRule type="duplicateValues" dxfId="60" priority="65"/>
  </conditionalFormatting>
  <conditionalFormatting sqref="I219">
    <cfRule type="duplicateValues" dxfId="59" priority="64"/>
  </conditionalFormatting>
  <conditionalFormatting sqref="I207">
    <cfRule type="duplicateValues" dxfId="58" priority="63"/>
  </conditionalFormatting>
  <conditionalFormatting sqref="I199">
    <cfRule type="duplicateValues" dxfId="57" priority="62"/>
  </conditionalFormatting>
  <conditionalFormatting sqref="I200">
    <cfRule type="duplicateValues" dxfId="56" priority="61"/>
  </conditionalFormatting>
  <conditionalFormatting sqref="I203">
    <cfRule type="duplicateValues" dxfId="55" priority="60"/>
  </conditionalFormatting>
  <conditionalFormatting sqref="I204">
    <cfRule type="duplicateValues" dxfId="54" priority="59"/>
  </conditionalFormatting>
  <conditionalFormatting sqref="I206">
    <cfRule type="duplicateValues" dxfId="53" priority="57"/>
  </conditionalFormatting>
  <conditionalFormatting sqref="I208">
    <cfRule type="duplicateValues" dxfId="52" priority="56"/>
  </conditionalFormatting>
  <conditionalFormatting sqref="I197">
    <cfRule type="duplicateValues" dxfId="51" priority="55"/>
  </conditionalFormatting>
  <conditionalFormatting sqref="I192">
    <cfRule type="duplicateValues" dxfId="50" priority="54"/>
  </conditionalFormatting>
  <conditionalFormatting sqref="I193">
    <cfRule type="duplicateValues" dxfId="49" priority="53"/>
  </conditionalFormatting>
  <conditionalFormatting sqref="I190">
    <cfRule type="duplicateValues" dxfId="48" priority="52"/>
  </conditionalFormatting>
  <conditionalFormatting sqref="I186">
    <cfRule type="duplicateValues" dxfId="47" priority="51"/>
  </conditionalFormatting>
  <conditionalFormatting sqref="I187">
    <cfRule type="duplicateValues" dxfId="46" priority="50"/>
  </conditionalFormatting>
  <conditionalFormatting sqref="I188">
    <cfRule type="duplicateValues" dxfId="45" priority="49"/>
  </conditionalFormatting>
  <conditionalFormatting sqref="I189">
    <cfRule type="duplicateValues" dxfId="44" priority="48"/>
  </conditionalFormatting>
  <conditionalFormatting sqref="I276">
    <cfRule type="duplicateValues" dxfId="43" priority="47"/>
  </conditionalFormatting>
  <conditionalFormatting sqref="I277">
    <cfRule type="duplicateValues" dxfId="42" priority="46"/>
  </conditionalFormatting>
  <conditionalFormatting sqref="I278">
    <cfRule type="duplicateValues" dxfId="41" priority="45"/>
  </conditionalFormatting>
  <conditionalFormatting sqref="I279">
    <cfRule type="duplicateValues" dxfId="40" priority="44"/>
  </conditionalFormatting>
  <conditionalFormatting sqref="I280">
    <cfRule type="duplicateValues" dxfId="39" priority="43"/>
  </conditionalFormatting>
  <conditionalFormatting sqref="I281">
    <cfRule type="duplicateValues" dxfId="38" priority="42"/>
  </conditionalFormatting>
  <conditionalFormatting sqref="I282">
    <cfRule type="duplicateValues" dxfId="37" priority="41"/>
  </conditionalFormatting>
  <conditionalFormatting sqref="I287">
    <cfRule type="duplicateValues" dxfId="36" priority="40"/>
  </conditionalFormatting>
  <conditionalFormatting sqref="I283">
    <cfRule type="duplicateValues" dxfId="35" priority="39"/>
  </conditionalFormatting>
  <conditionalFormatting sqref="I284">
    <cfRule type="duplicateValues" dxfId="34" priority="38"/>
  </conditionalFormatting>
  <conditionalFormatting sqref="I285">
    <cfRule type="duplicateValues" dxfId="33" priority="37"/>
  </conditionalFormatting>
  <conditionalFormatting sqref="I286">
    <cfRule type="duplicateValues" dxfId="32" priority="36"/>
  </conditionalFormatting>
  <conditionalFormatting sqref="I288">
    <cfRule type="duplicateValues" dxfId="31" priority="35"/>
  </conditionalFormatting>
  <conditionalFormatting sqref="I289">
    <cfRule type="duplicateValues" dxfId="30" priority="34"/>
  </conditionalFormatting>
  <conditionalFormatting sqref="I290">
    <cfRule type="duplicateValues" dxfId="29" priority="33"/>
  </conditionalFormatting>
  <conditionalFormatting sqref="I291">
    <cfRule type="duplicateValues" dxfId="28" priority="32"/>
  </conditionalFormatting>
  <conditionalFormatting sqref="I292">
    <cfRule type="duplicateValues" dxfId="27" priority="31"/>
  </conditionalFormatting>
  <conditionalFormatting sqref="I293">
    <cfRule type="duplicateValues" dxfId="26" priority="30"/>
  </conditionalFormatting>
  <conditionalFormatting sqref="I294">
    <cfRule type="duplicateValues" dxfId="25" priority="29"/>
  </conditionalFormatting>
  <conditionalFormatting sqref="I298">
    <cfRule type="duplicateValues" dxfId="24" priority="25"/>
  </conditionalFormatting>
  <conditionalFormatting sqref="I299">
    <cfRule type="duplicateValues" dxfId="23" priority="24"/>
  </conditionalFormatting>
  <conditionalFormatting sqref="I300">
    <cfRule type="duplicateValues" dxfId="22" priority="23"/>
  </conditionalFormatting>
  <conditionalFormatting sqref="I301">
    <cfRule type="duplicateValues" dxfId="21" priority="22"/>
  </conditionalFormatting>
  <conditionalFormatting sqref="I302">
    <cfRule type="duplicateValues" dxfId="20" priority="21"/>
  </conditionalFormatting>
  <conditionalFormatting sqref="I303">
    <cfRule type="duplicateValues" dxfId="19" priority="20"/>
  </conditionalFormatting>
  <conditionalFormatting sqref="I304">
    <cfRule type="duplicateValues" dxfId="18" priority="19"/>
  </conditionalFormatting>
  <conditionalFormatting sqref="I305">
    <cfRule type="duplicateValues" dxfId="17" priority="18"/>
  </conditionalFormatting>
  <conditionalFormatting sqref="I306">
    <cfRule type="duplicateValues" dxfId="16" priority="17"/>
  </conditionalFormatting>
  <conditionalFormatting sqref="I307">
    <cfRule type="duplicateValues" dxfId="15" priority="16"/>
  </conditionalFormatting>
  <conditionalFormatting sqref="I309">
    <cfRule type="duplicateValues" dxfId="14" priority="15"/>
  </conditionalFormatting>
  <conditionalFormatting sqref="I308">
    <cfRule type="duplicateValues" dxfId="13" priority="14"/>
  </conditionalFormatting>
  <conditionalFormatting sqref="I310">
    <cfRule type="duplicateValues" dxfId="12" priority="13"/>
  </conditionalFormatting>
  <conditionalFormatting sqref="I311">
    <cfRule type="duplicateValues" dxfId="11" priority="12"/>
  </conditionalFormatting>
  <conditionalFormatting sqref="I312">
    <cfRule type="duplicateValues" dxfId="10" priority="11"/>
  </conditionalFormatting>
  <conditionalFormatting sqref="I313">
    <cfRule type="duplicateValues" dxfId="9" priority="10"/>
  </conditionalFormatting>
  <conditionalFormatting sqref="I314">
    <cfRule type="duplicateValues" dxfId="8" priority="9"/>
  </conditionalFormatting>
  <conditionalFormatting sqref="I315">
    <cfRule type="duplicateValues" dxfId="7" priority="8"/>
  </conditionalFormatting>
  <conditionalFormatting sqref="I316">
    <cfRule type="duplicateValues" dxfId="6" priority="7"/>
  </conditionalFormatting>
  <conditionalFormatting sqref="I317">
    <cfRule type="duplicateValues" dxfId="5" priority="6"/>
  </conditionalFormatting>
  <conditionalFormatting sqref="I318">
    <cfRule type="duplicateValues" dxfId="4" priority="5"/>
  </conditionalFormatting>
  <conditionalFormatting sqref="I319 I194:I195 I191 I181:I185 I146:I148 I139 I42">
    <cfRule type="duplicateValues" dxfId="3" priority="4"/>
  </conditionalFormatting>
  <conditionalFormatting sqref="I321">
    <cfRule type="duplicateValues" dxfId="2" priority="3"/>
  </conditionalFormatting>
  <conditionalFormatting sqref="I322">
    <cfRule type="duplicateValues" dxfId="1" priority="2"/>
  </conditionalFormatting>
  <conditionalFormatting sqref="I320">
    <cfRule type="duplicateValues" dxfId="0" priority="1"/>
  </conditionalFormatting>
  <dataValidations count="3">
    <dataValidation allowBlank="1" showInputMessage="1" sqref="A1:A1048576 N1:XFD1048576 B1:M4 B323:M1048576"/>
    <dataValidation type="date" allowBlank="1" showInputMessage="1" showErrorMessage="1" sqref="J17:J18 J5:J14 J32:J34 B5:B189 J158:J161 J163 J177 J186:J189 J192:J193 B192:B217 J207 J199:J200 J219 J234:J237 B219:B251 B253:B322 J276:J278 J281 J294:J295 J283">
      <formula1>43466</formula1>
      <formula2>47848</formula2>
    </dataValidation>
    <dataValidation type="whole" allowBlank="1" showInputMessage="1" showErrorMessage="1" sqref="L5:L189 L236 L219:L234 L192:L195 L198:L217 L238:L312 L314:L322">
      <formula1>0</formula1>
      <formula2>1000000000000</formula2>
    </dataValidation>
  </dataValidations>
  <printOptions horizontalCentered="1"/>
  <pageMargins left="0.7" right="0.7" top="0.75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'C:\Users\Khojaka\Downloads\[Aviaticket Hotel (15).xlsx]Ma''lumotlarBazasi'!#REF!</xm:f>
          </x14:formula1>
          <xm:sqref>F57:F58 F54 F34:F38 F65:F68 F144:F157 F105:F138 F84:F91 F93:F103 F71 F41:F43 F61:F63 F5:F6 F19:F27 F73:F82</xm:sqref>
        </x14:dataValidation>
        <x14:dataValidation type="list" allowBlank="1" showInputMessage="1" showErrorMessage="1">
          <x14:formula1>
            <xm:f>'D:\Sardor\Общая папка\ВИЗА\Project\[Aviaticket Hotel.xlsx]Ma''lumotlarBazasi'!#REF!</xm:f>
          </x14:formula1>
          <xm:sqref>E40 F69:F70 E105:E107 K102:K103 F72 K30:K31 K86:K91 E98 K94:K97 K105 E30:F31 K108:K111 E102:E103</xm:sqref>
        </x14:dataValidation>
        <x14:dataValidation type="list" allowBlank="1" showInputMessage="1" showErrorMessage="1">
          <x14:formula1>
            <xm:f>'C:\Users\Khojaka\Downloads\[Aviaticket Hotel (15).xlsx]Ma''lumotlarBazasi'!#REF!</xm:f>
          </x14:formula1>
          <xm:sqref>E86:E97 E12:E29 E32:E38 E99:E101 E104 E108:E157 E41:E57 E59:E60 E62:E67 E69:E83 E5:E6</xm:sqref>
        </x14:dataValidation>
        <x14:dataValidation type="list" allowBlank="1" showInputMessage="1" showErrorMessage="1">
          <x14:formula1>
            <xm:f>'C:\Users\Khojaka\Downloads\[Aviaticket Hotel (15).xlsx]Ma''lumotlarBazasi'!#REF!</xm:f>
          </x14:formula1>
          <xm:sqref>D5:D322</xm:sqref>
        </x14:dataValidation>
        <x14:dataValidation type="list" allowBlank="1" showInputMessage="1" showErrorMessage="1">
          <x14:formula1>
            <xm:f>'C:\Users\Khojaka\Downloads\[Aviaticket Hotel (15).xlsx]Ma''lumotlarBazasi'!#REF!</xm:f>
          </x14:formula1>
          <xm:sqref>M5:M157 M160:M164 M175:M176 M180:M185 M191 M194:M196 M198 M203:M206 M211 M218:M223 M227:M228 M276:M322</xm:sqref>
        </x14:dataValidation>
        <x14:dataValidation type="list" allowBlank="1" showInputMessage="1" showErrorMessage="1">
          <x14:formula1>
            <xm:f>'C:\Users\Khojaka\Downloads\[Aviaticket Hotel (15).xlsx]Ma''lumotlarBazasi'!#REF!</xm:f>
          </x14:formula1>
          <xm:sqref>K59:K83 K92:K93 K98:K101 K104 K106:K107 K5:K29 K32:K57 K112:K157</xm:sqref>
        </x14:dataValidation>
        <x14:dataValidation type="list" allowBlank="1" showInputMessage="1" showErrorMessage="1">
          <x14:formula1>
            <xm:f>'C:\Users\Khojaka\Downloads\[Aviaticket Hotel (17).xlsx]Ma''lumotlarBazasi'!#REF!</xm:f>
          </x14:formula1>
          <xm:sqref>M245:M254 M197 M233:M237 M165:M170 M192:M193 M207 M209:M210 M259:M261 M264:M267 M269:M274 M158:M159 M177:M179 M186:M190 M224:M226 M229:M231</xm:sqref>
        </x14:dataValidation>
        <x14:dataValidation type="list" allowBlank="1" showInputMessage="1" showErrorMessage="1">
          <x14:formula1>
            <xm:f>'C:\Users\Khojaka\Downloads\[Aviaticket Hotel (17).xlsx]Ma''lumotlarBazasi'!#REF!</xm:f>
          </x14:formula1>
          <xm:sqref>G160:G189 G192:G198 G203:G207 G209:G211 G218:G219 G224:G230 G234:G239 G241:G245 G249:G261 G264:G267 G269:G275</xm:sqref>
        </x14:dataValidation>
        <x14:dataValidation type="list" allowBlank="1" showInputMessage="1" showErrorMessage="1">
          <x14:formula1>
            <xm:f>'C:\Users\Khojaka\Downloads\[Aviaticket Hotel (17).xlsx]Ma''lumotlarBazasi'!#REF!</xm:f>
          </x14:formula1>
          <xm:sqref>F202 F239 F232:F235 F211:F230 F264:F265 F267 F269 F252:F254 F158:F167 F175:F189 F192:F198 F200 F204:F208 F246:F247 F249:F250 F274</xm:sqref>
        </x14:dataValidation>
        <x14:dataValidation type="list" allowBlank="1" showInputMessage="1" showErrorMessage="1">
          <x14:formula1>
            <xm:f>'C:\Users\Khojaka\Downloads\[Aviaticket Hotel (17).xlsx]Ma''lumotlarBazasi'!#REF!</xm:f>
          </x14:formula1>
          <xm:sqref>E192:E229 E232:E239 E241:E251 E255:E266 E268 E272:E275 E158:E189</xm:sqref>
        </x14:dataValidation>
        <x14:dataValidation type="list" allowBlank="1" showInputMessage="1" showErrorMessage="1">
          <x14:formula1>
            <xm:f>'C:\Users\Khojaka\Downloads\[Aviaticket Hotel (17).xlsx]Ma''lumotlarBazasi'!#REF!</xm:f>
          </x14:formula1>
          <xm:sqref>F236:F238 F199 F201</xm:sqref>
        </x14:dataValidation>
        <x14:dataValidation type="list" allowBlank="1" showInputMessage="1" showErrorMessage="1">
          <x14:formula1>
            <xm:f>'C:\Users\Khojaka\Downloads\[Aviaticket Hotel (17).xlsx]Ma''lumotlarBazasi'!#REF!</xm:f>
          </x14:formula1>
          <xm:sqref>K209:K217 K266:K275 K158:K176 K178:K189 K192:K207 K219:K264</xm:sqref>
        </x14:dataValidation>
        <x14:dataValidation type="list" allowBlank="1" showInputMessage="1" showErrorMessage="1">
          <x14:formula1>
            <xm:f>'C:\Users\Khojaka\Downloads\[Aviaticket Hotel 2020 Doniyor (5).xlsx]Ma''lumotlarBazasi'!#REF!</xm:f>
          </x14:formula1>
          <xm:sqref>G296 G284:G287 G313:G314</xm:sqref>
        </x14:dataValidation>
        <x14:dataValidation type="list" allowBlank="1" showInputMessage="1" showErrorMessage="1">
          <x14:formula1>
            <xm:f>'C:\Users\Khojaka\Downloads\[Aviaticket Hotel 2020 Doniyor (5).xlsx]Ma''lumotlarBazasi'!#REF!</xm:f>
          </x14:formula1>
          <xm:sqref>F296:F299 F281:F285 F301:F303 F314 F276:F278 F292:F293</xm:sqref>
        </x14:dataValidation>
        <x14:dataValidation type="list" allowBlank="1" showInputMessage="1" showErrorMessage="1">
          <x14:formula1>
            <xm:f>'C:\Users\Khojaka\Downloads\[Aviaticket Hotel 2020 Doniyor (5).xlsx]Ma''lumotlarBazasi'!#REF!</xm:f>
          </x14:formula1>
          <xm:sqref>E304 E276:E278 E319</xm:sqref>
        </x14:dataValidation>
        <x14:dataValidation type="list" allowBlank="1" showInputMessage="1" showErrorMessage="1">
          <x14:formula1>
            <xm:f>'C:\Users\Khojaka\Downloads\[Aviaticket Hotel 2020 Doniyor (5).xlsx]Ma''lumotlarBazasi'!#REF!</xm:f>
          </x14:formula1>
          <xm:sqref>K276:K293 K295:K322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tabColor theme="4"/>
    <pageSetUpPr autoPageBreaks="0" fitToPage="1"/>
  </sheetPr>
  <dimension ref="A3:M232"/>
  <sheetViews>
    <sheetView showGridLines="0" topLeftCell="B146" zoomScale="70" zoomScaleNormal="70" workbookViewId="0">
      <selection activeCell="D127" sqref="D127:D218"/>
    </sheetView>
  </sheetViews>
  <sheetFormatPr defaultColWidth="9.109375" defaultRowHeight="15.6" x14ac:dyDescent="0.3"/>
  <cols>
    <col min="1" max="1" width="9.109375" style="136"/>
    <col min="2" max="2" width="16.33203125" style="159" bestFit="1" customWidth="1"/>
    <col min="3" max="3" width="74.88671875" style="135" customWidth="1"/>
    <col min="4" max="4" width="14.44140625" style="134" bestFit="1" customWidth="1"/>
    <col min="5" max="5" width="35.88671875" style="134" bestFit="1" customWidth="1"/>
    <col min="6" max="6" width="28.33203125" style="159" bestFit="1" customWidth="1"/>
    <col min="7" max="7" width="30.33203125" style="159" bestFit="1" customWidth="1"/>
    <col min="8" max="8" width="40.88671875" style="134" bestFit="1" customWidth="1"/>
    <col min="9" max="9" width="24.33203125" style="134" bestFit="1" customWidth="1"/>
    <col min="10" max="10" width="13.88671875" style="283" bestFit="1" customWidth="1"/>
    <col min="11" max="11" width="16.88671875" style="134" bestFit="1" customWidth="1"/>
    <col min="12" max="12" width="21.5546875" style="280" bestFit="1" customWidth="1"/>
    <col min="13" max="13" width="19.109375" style="134" bestFit="1" customWidth="1"/>
    <col min="14" max="16384" width="9.109375" style="134"/>
  </cols>
  <sheetData>
    <row r="3" spans="2:13" x14ac:dyDescent="0.3">
      <c r="B3" s="275"/>
      <c r="C3" s="276"/>
      <c r="D3" s="277"/>
      <c r="E3" s="277"/>
      <c r="F3" s="275"/>
      <c r="G3" s="275"/>
      <c r="H3" s="277"/>
      <c r="I3" s="277"/>
      <c r="J3" s="281"/>
      <c r="K3" s="277"/>
      <c r="L3" s="278"/>
      <c r="M3" s="277"/>
    </row>
    <row r="4" spans="2:13" ht="18" hidden="1" x14ac:dyDescent="0.3">
      <c r="B4" s="161">
        <v>43862</v>
      </c>
      <c r="C4" s="157" t="s">
        <v>646</v>
      </c>
      <c r="D4" s="158" t="s">
        <v>647</v>
      </c>
      <c r="E4" s="158" t="s">
        <v>358</v>
      </c>
      <c r="F4" s="161" t="s">
        <v>359</v>
      </c>
      <c r="G4" s="161" t="s">
        <v>648</v>
      </c>
      <c r="H4" s="158" t="s">
        <v>649</v>
      </c>
      <c r="I4" s="158" t="s">
        <v>97</v>
      </c>
      <c r="J4" s="282">
        <v>43864</v>
      </c>
      <c r="K4" s="158" t="s">
        <v>39</v>
      </c>
      <c r="L4" s="279">
        <v>12448203</v>
      </c>
      <c r="M4" s="158" t="s">
        <v>19</v>
      </c>
    </row>
    <row r="5" spans="2:13" ht="18" hidden="1" x14ac:dyDescent="0.3">
      <c r="B5" s="161">
        <v>43864</v>
      </c>
      <c r="C5" s="157" t="s">
        <v>650</v>
      </c>
      <c r="D5" s="158" t="s">
        <v>647</v>
      </c>
      <c r="E5" s="158" t="s">
        <v>351</v>
      </c>
      <c r="F5" s="161" t="s">
        <v>399</v>
      </c>
      <c r="G5" s="161" t="s">
        <v>651</v>
      </c>
      <c r="H5" s="158" t="s">
        <v>372</v>
      </c>
      <c r="I5" s="158" t="s">
        <v>97</v>
      </c>
      <c r="J5" s="282">
        <v>43864</v>
      </c>
      <c r="K5" s="158" t="s">
        <v>39</v>
      </c>
      <c r="L5" s="279">
        <v>2738487</v>
      </c>
      <c r="M5" s="158" t="s">
        <v>19</v>
      </c>
    </row>
    <row r="6" spans="2:13" ht="18" hidden="1" x14ac:dyDescent="0.3">
      <c r="B6" s="161">
        <v>43864</v>
      </c>
      <c r="C6" s="157" t="s">
        <v>652</v>
      </c>
      <c r="D6" s="158" t="s">
        <v>647</v>
      </c>
      <c r="E6" s="158" t="s">
        <v>351</v>
      </c>
      <c r="F6" s="161" t="s">
        <v>399</v>
      </c>
      <c r="G6" s="161" t="s">
        <v>651</v>
      </c>
      <c r="H6" s="158" t="s">
        <v>372</v>
      </c>
      <c r="I6" s="158" t="s">
        <v>97</v>
      </c>
      <c r="J6" s="282">
        <v>43864</v>
      </c>
      <c r="K6" s="158" t="s">
        <v>39</v>
      </c>
      <c r="L6" s="279">
        <v>2738487</v>
      </c>
      <c r="M6" s="158" t="s">
        <v>19</v>
      </c>
    </row>
    <row r="7" spans="2:13" ht="18" hidden="1" x14ac:dyDescent="0.3">
      <c r="B7" s="161">
        <v>43864</v>
      </c>
      <c r="C7" s="157" t="s">
        <v>653</v>
      </c>
      <c r="D7" s="158" t="s">
        <v>647</v>
      </c>
      <c r="E7" s="158" t="s">
        <v>308</v>
      </c>
      <c r="F7" s="161" t="s">
        <v>309</v>
      </c>
      <c r="G7" s="161" t="s">
        <v>301</v>
      </c>
      <c r="H7" s="158" t="s">
        <v>375</v>
      </c>
      <c r="I7" s="158" t="s">
        <v>97</v>
      </c>
      <c r="J7" s="282" t="s">
        <v>654</v>
      </c>
      <c r="K7" s="158" t="s">
        <v>39</v>
      </c>
      <c r="L7" s="279">
        <v>5226306</v>
      </c>
      <c r="M7" s="158" t="s">
        <v>20</v>
      </c>
    </row>
    <row r="8" spans="2:13" ht="18" hidden="1" x14ac:dyDescent="0.3">
      <c r="B8" s="161">
        <v>43866</v>
      </c>
      <c r="C8" s="157" t="s">
        <v>655</v>
      </c>
      <c r="D8" s="158" t="s">
        <v>647</v>
      </c>
      <c r="E8" s="158" t="s">
        <v>314</v>
      </c>
      <c r="F8" s="161" t="s">
        <v>359</v>
      </c>
      <c r="G8" s="161" t="s">
        <v>301</v>
      </c>
      <c r="H8" s="158" t="s">
        <v>375</v>
      </c>
      <c r="I8" s="158" t="s">
        <v>97</v>
      </c>
      <c r="J8" s="282" t="s">
        <v>656</v>
      </c>
      <c r="K8" s="158" t="s">
        <v>39</v>
      </c>
      <c r="L8" s="279">
        <v>5474235</v>
      </c>
      <c r="M8" s="158" t="s">
        <v>20</v>
      </c>
    </row>
    <row r="9" spans="2:13" ht="18" hidden="1" x14ac:dyDescent="0.3">
      <c r="B9" s="161">
        <v>43866</v>
      </c>
      <c r="C9" s="157" t="s">
        <v>657</v>
      </c>
      <c r="D9" s="158" t="s">
        <v>647</v>
      </c>
      <c r="E9" s="158" t="s">
        <v>308</v>
      </c>
      <c r="F9" s="161" t="s">
        <v>309</v>
      </c>
      <c r="G9" s="161" t="s">
        <v>301</v>
      </c>
      <c r="H9" s="158" t="s">
        <v>354</v>
      </c>
      <c r="I9" s="158" t="s">
        <v>97</v>
      </c>
      <c r="J9" s="282">
        <v>43836</v>
      </c>
      <c r="K9" s="158" t="s">
        <v>33</v>
      </c>
      <c r="L9" s="279">
        <v>3312868</v>
      </c>
      <c r="M9" s="158" t="s">
        <v>20</v>
      </c>
    </row>
    <row r="10" spans="2:13" ht="18" hidden="1" x14ac:dyDescent="0.3">
      <c r="B10" s="161">
        <v>43867</v>
      </c>
      <c r="C10" s="157" t="s">
        <v>658</v>
      </c>
      <c r="D10" s="158" t="s">
        <v>647</v>
      </c>
      <c r="E10" s="158" t="s">
        <v>412</v>
      </c>
      <c r="F10" s="161" t="s">
        <v>149</v>
      </c>
      <c r="G10" s="161" t="s">
        <v>413</v>
      </c>
      <c r="H10" s="158" t="s">
        <v>402</v>
      </c>
      <c r="I10" s="158" t="s">
        <v>97</v>
      </c>
      <c r="J10" s="282" t="s">
        <v>659</v>
      </c>
      <c r="K10" s="158" t="s">
        <v>33</v>
      </c>
      <c r="L10" s="279">
        <v>5260572</v>
      </c>
      <c r="M10" s="158" t="s">
        <v>19</v>
      </c>
    </row>
    <row r="11" spans="2:13" ht="18" hidden="1" x14ac:dyDescent="0.3">
      <c r="B11" s="161">
        <v>43868</v>
      </c>
      <c r="C11" s="157" t="s">
        <v>660</v>
      </c>
      <c r="D11" s="158" t="s">
        <v>647</v>
      </c>
      <c r="E11" s="158" t="s">
        <v>412</v>
      </c>
      <c r="F11" s="161" t="s">
        <v>149</v>
      </c>
      <c r="G11" s="161" t="s">
        <v>301</v>
      </c>
      <c r="H11" s="158" t="s">
        <v>661</v>
      </c>
      <c r="I11" s="158" t="s">
        <v>97</v>
      </c>
      <c r="J11" s="282" t="s">
        <v>662</v>
      </c>
      <c r="K11" s="158" t="s">
        <v>39</v>
      </c>
      <c r="L11" s="279">
        <v>5741404</v>
      </c>
      <c r="M11" s="158" t="s">
        <v>19</v>
      </c>
    </row>
    <row r="12" spans="2:13" ht="18" hidden="1" x14ac:dyDescent="0.3">
      <c r="B12" s="161">
        <v>43868</v>
      </c>
      <c r="C12" s="157" t="s">
        <v>663</v>
      </c>
      <c r="D12" s="158" t="s">
        <v>647</v>
      </c>
      <c r="E12" s="158" t="s">
        <v>340</v>
      </c>
      <c r="F12" s="161" t="s">
        <v>664</v>
      </c>
      <c r="G12" s="161" t="s">
        <v>382</v>
      </c>
      <c r="H12" s="158" t="s">
        <v>372</v>
      </c>
      <c r="I12" s="158" t="s">
        <v>97</v>
      </c>
      <c r="J12" s="282">
        <v>43871</v>
      </c>
      <c r="K12" s="158" t="s">
        <v>39</v>
      </c>
      <c r="L12" s="279">
        <v>2734000</v>
      </c>
      <c r="M12" s="158" t="s">
        <v>19</v>
      </c>
    </row>
    <row r="13" spans="2:13" ht="18" hidden="1" x14ac:dyDescent="0.3">
      <c r="B13" s="161">
        <v>43868</v>
      </c>
      <c r="C13" s="157" t="s">
        <v>665</v>
      </c>
      <c r="D13" s="158" t="s">
        <v>647</v>
      </c>
      <c r="E13" s="158" t="s">
        <v>365</v>
      </c>
      <c r="F13" s="161" t="s">
        <v>418</v>
      </c>
      <c r="G13" s="161" t="s">
        <v>301</v>
      </c>
      <c r="H13" s="158" t="s">
        <v>372</v>
      </c>
      <c r="I13" s="158" t="s">
        <v>97</v>
      </c>
      <c r="J13" s="282">
        <v>43872</v>
      </c>
      <c r="K13" s="158" t="s">
        <v>33</v>
      </c>
      <c r="L13" s="279">
        <v>2733841</v>
      </c>
      <c r="M13" s="158" t="s">
        <v>19</v>
      </c>
    </row>
    <row r="14" spans="2:13" ht="18" hidden="1" x14ac:dyDescent="0.3">
      <c r="B14" s="161">
        <v>43868</v>
      </c>
      <c r="C14" s="157" t="s">
        <v>666</v>
      </c>
      <c r="D14" s="158" t="s">
        <v>647</v>
      </c>
      <c r="E14" s="158" t="s">
        <v>365</v>
      </c>
      <c r="F14" s="161" t="s">
        <v>418</v>
      </c>
      <c r="G14" s="161" t="s">
        <v>301</v>
      </c>
      <c r="H14" s="158" t="s">
        <v>372</v>
      </c>
      <c r="I14" s="158" t="s">
        <v>97</v>
      </c>
      <c r="J14" s="282">
        <v>43872</v>
      </c>
      <c r="K14" s="158" t="s">
        <v>33</v>
      </c>
      <c r="L14" s="279">
        <v>2733841</v>
      </c>
      <c r="M14" s="158" t="s">
        <v>19</v>
      </c>
    </row>
    <row r="15" spans="2:13" ht="18" hidden="1" x14ac:dyDescent="0.3">
      <c r="B15" s="161">
        <v>43871</v>
      </c>
      <c r="C15" s="157" t="s">
        <v>675</v>
      </c>
      <c r="D15" s="158" t="s">
        <v>647</v>
      </c>
      <c r="E15" s="158" t="s">
        <v>308</v>
      </c>
      <c r="F15" s="161" t="s">
        <v>309</v>
      </c>
      <c r="G15" s="161" t="s">
        <v>301</v>
      </c>
      <c r="H15" s="158" t="s">
        <v>402</v>
      </c>
      <c r="I15" s="158" t="s">
        <v>97</v>
      </c>
      <c r="J15" s="282" t="s">
        <v>676</v>
      </c>
      <c r="K15" s="158" t="s">
        <v>39</v>
      </c>
      <c r="L15" s="279">
        <v>5321567</v>
      </c>
      <c r="M15" s="158" t="s">
        <v>20</v>
      </c>
    </row>
    <row r="16" spans="2:13" ht="18" hidden="1" x14ac:dyDescent="0.3">
      <c r="B16" s="161">
        <v>43873</v>
      </c>
      <c r="C16" s="157" t="s">
        <v>395</v>
      </c>
      <c r="D16" s="158" t="s">
        <v>647</v>
      </c>
      <c r="E16" s="158" t="s">
        <v>358</v>
      </c>
      <c r="F16" s="161" t="s">
        <v>359</v>
      </c>
      <c r="G16" s="161" t="s">
        <v>304</v>
      </c>
      <c r="H16" s="158" t="s">
        <v>410</v>
      </c>
      <c r="I16" s="158" t="s">
        <v>97</v>
      </c>
      <c r="J16" s="282">
        <v>43874</v>
      </c>
      <c r="K16" s="158" t="s">
        <v>39</v>
      </c>
      <c r="L16" s="279">
        <v>10145573</v>
      </c>
      <c r="M16" s="158" t="s">
        <v>19</v>
      </c>
    </row>
    <row r="17" spans="2:13" ht="18" hidden="1" x14ac:dyDescent="0.3">
      <c r="B17" s="161">
        <v>43874</v>
      </c>
      <c r="C17" s="157" t="s">
        <v>677</v>
      </c>
      <c r="D17" s="158" t="s">
        <v>647</v>
      </c>
      <c r="E17" s="158" t="s">
        <v>308</v>
      </c>
      <c r="F17" s="161" t="s">
        <v>309</v>
      </c>
      <c r="G17" s="161" t="s">
        <v>301</v>
      </c>
      <c r="H17" s="158" t="s">
        <v>372</v>
      </c>
      <c r="I17" s="158" t="s">
        <v>97</v>
      </c>
      <c r="J17" s="282">
        <v>43875</v>
      </c>
      <c r="K17" s="158" t="s">
        <v>33</v>
      </c>
      <c r="L17" s="279">
        <v>3301240</v>
      </c>
      <c r="M17" s="158" t="s">
        <v>20</v>
      </c>
    </row>
    <row r="18" spans="2:13" ht="18" hidden="1" x14ac:dyDescent="0.3">
      <c r="B18" s="161">
        <v>43875</v>
      </c>
      <c r="C18" s="157" t="s">
        <v>684</v>
      </c>
      <c r="D18" s="158" t="s">
        <v>647</v>
      </c>
      <c r="E18" s="158" t="s">
        <v>340</v>
      </c>
      <c r="F18" s="161" t="s">
        <v>685</v>
      </c>
      <c r="G18" s="161" t="s">
        <v>686</v>
      </c>
      <c r="H18" s="158" t="s">
        <v>687</v>
      </c>
      <c r="I18" s="158" t="s">
        <v>688</v>
      </c>
      <c r="J18" s="282" t="s">
        <v>689</v>
      </c>
      <c r="K18" s="158" t="s">
        <v>39</v>
      </c>
      <c r="L18" s="279">
        <v>5701509</v>
      </c>
      <c r="M18" s="158" t="s">
        <v>20</v>
      </c>
    </row>
    <row r="19" spans="2:13" ht="18" hidden="1" x14ac:dyDescent="0.3">
      <c r="B19" s="161">
        <v>43875</v>
      </c>
      <c r="C19" s="157" t="s">
        <v>690</v>
      </c>
      <c r="D19" s="158" t="s">
        <v>647</v>
      </c>
      <c r="E19" s="158" t="s">
        <v>340</v>
      </c>
      <c r="F19" s="161" t="s">
        <v>685</v>
      </c>
      <c r="G19" s="161" t="s">
        <v>686</v>
      </c>
      <c r="H19" s="158" t="s">
        <v>687</v>
      </c>
      <c r="I19" s="158" t="s">
        <v>688</v>
      </c>
      <c r="J19" s="282" t="s">
        <v>689</v>
      </c>
      <c r="K19" s="158" t="s">
        <v>39</v>
      </c>
      <c r="L19" s="279">
        <v>5701509</v>
      </c>
      <c r="M19" s="158" t="s">
        <v>20</v>
      </c>
    </row>
    <row r="20" spans="2:13" ht="18" hidden="1" x14ac:dyDescent="0.3">
      <c r="B20" s="161">
        <v>43875</v>
      </c>
      <c r="C20" s="157" t="s">
        <v>694</v>
      </c>
      <c r="D20" s="158" t="s">
        <v>647</v>
      </c>
      <c r="E20" s="158" t="s">
        <v>412</v>
      </c>
      <c r="F20" s="161" t="s">
        <v>149</v>
      </c>
      <c r="G20" s="161" t="s">
        <v>304</v>
      </c>
      <c r="H20" s="158" t="s">
        <v>354</v>
      </c>
      <c r="I20" s="158" t="s">
        <v>97</v>
      </c>
      <c r="J20" s="282">
        <v>43879</v>
      </c>
      <c r="K20" s="158" t="s">
        <v>39</v>
      </c>
      <c r="L20" s="279">
        <v>3323684</v>
      </c>
      <c r="M20" s="158" t="s">
        <v>19</v>
      </c>
    </row>
    <row r="21" spans="2:13" ht="18" hidden="1" x14ac:dyDescent="0.3">
      <c r="B21" s="161">
        <v>43876</v>
      </c>
      <c r="C21" s="157" t="s">
        <v>695</v>
      </c>
      <c r="D21" s="158" t="s">
        <v>647</v>
      </c>
      <c r="E21" s="158" t="s">
        <v>412</v>
      </c>
      <c r="F21" s="161" t="s">
        <v>149</v>
      </c>
      <c r="G21" s="161" t="s">
        <v>304</v>
      </c>
      <c r="H21" s="158" t="s">
        <v>354</v>
      </c>
      <c r="I21" s="158" t="s">
        <v>97</v>
      </c>
      <c r="J21" s="282">
        <v>43879</v>
      </c>
      <c r="K21" s="158" t="s">
        <v>33</v>
      </c>
      <c r="L21" s="279">
        <v>3361262</v>
      </c>
      <c r="M21" s="158" t="s">
        <v>19</v>
      </c>
    </row>
    <row r="22" spans="2:13" ht="18" hidden="1" x14ac:dyDescent="0.3">
      <c r="B22" s="161">
        <v>43877</v>
      </c>
      <c r="C22" s="157" t="s">
        <v>696</v>
      </c>
      <c r="D22" s="158" t="s">
        <v>647</v>
      </c>
      <c r="E22" s="158" t="s">
        <v>425</v>
      </c>
      <c r="F22" s="161" t="s">
        <v>426</v>
      </c>
      <c r="G22" s="161" t="s">
        <v>301</v>
      </c>
      <c r="H22" s="158" t="s">
        <v>375</v>
      </c>
      <c r="I22" s="158" t="s">
        <v>97</v>
      </c>
      <c r="J22" s="282" t="s">
        <v>697</v>
      </c>
      <c r="K22" s="158" t="s">
        <v>33</v>
      </c>
      <c r="L22" s="279">
        <v>12852430</v>
      </c>
      <c r="M22" s="158" t="s">
        <v>20</v>
      </c>
    </row>
    <row r="23" spans="2:13" ht="18" hidden="1" x14ac:dyDescent="0.3">
      <c r="B23" s="161">
        <v>43878</v>
      </c>
      <c r="C23" s="157" t="s">
        <v>698</v>
      </c>
      <c r="D23" s="158" t="s">
        <v>647</v>
      </c>
      <c r="E23" s="158" t="s">
        <v>340</v>
      </c>
      <c r="F23" s="161" t="s">
        <v>381</v>
      </c>
      <c r="G23" s="161" t="s">
        <v>382</v>
      </c>
      <c r="H23" s="158" t="s">
        <v>699</v>
      </c>
      <c r="I23" s="158" t="s">
        <v>85</v>
      </c>
      <c r="J23" s="282" t="s">
        <v>700</v>
      </c>
      <c r="K23" s="158" t="s">
        <v>322</v>
      </c>
      <c r="L23" s="279">
        <v>5855508</v>
      </c>
      <c r="M23" s="158" t="s">
        <v>20</v>
      </c>
    </row>
    <row r="24" spans="2:13" ht="18" hidden="1" x14ac:dyDescent="0.3">
      <c r="B24" s="161">
        <v>43878</v>
      </c>
      <c r="C24" s="157" t="s">
        <v>701</v>
      </c>
      <c r="D24" s="158" t="s">
        <v>647</v>
      </c>
      <c r="E24" s="158" t="s">
        <v>340</v>
      </c>
      <c r="F24" s="161" t="s">
        <v>381</v>
      </c>
      <c r="G24" s="161" t="s">
        <v>382</v>
      </c>
      <c r="H24" s="158" t="s">
        <v>699</v>
      </c>
      <c r="I24" s="158" t="s">
        <v>85</v>
      </c>
      <c r="J24" s="282" t="s">
        <v>700</v>
      </c>
      <c r="K24" s="158" t="s">
        <v>322</v>
      </c>
      <c r="L24" s="279">
        <v>5855508</v>
      </c>
      <c r="M24" s="158" t="s">
        <v>20</v>
      </c>
    </row>
    <row r="25" spans="2:13" ht="18" hidden="1" x14ac:dyDescent="0.3">
      <c r="B25" s="161">
        <v>43878</v>
      </c>
      <c r="C25" s="157" t="s">
        <v>702</v>
      </c>
      <c r="D25" s="158" t="s">
        <v>647</v>
      </c>
      <c r="E25" s="158" t="s">
        <v>340</v>
      </c>
      <c r="F25" s="161" t="s">
        <v>381</v>
      </c>
      <c r="G25" s="161" t="s">
        <v>382</v>
      </c>
      <c r="H25" s="158" t="s">
        <v>699</v>
      </c>
      <c r="I25" s="158" t="s">
        <v>85</v>
      </c>
      <c r="J25" s="282" t="s">
        <v>700</v>
      </c>
      <c r="K25" s="158" t="s">
        <v>322</v>
      </c>
      <c r="L25" s="279">
        <v>5855508</v>
      </c>
      <c r="M25" s="158" t="s">
        <v>20</v>
      </c>
    </row>
    <row r="26" spans="2:13" ht="18" hidden="1" x14ac:dyDescent="0.3">
      <c r="B26" s="161">
        <v>43878</v>
      </c>
      <c r="C26" s="157" t="s">
        <v>384</v>
      </c>
      <c r="D26" s="158" t="s">
        <v>647</v>
      </c>
      <c r="E26" s="158" t="s">
        <v>340</v>
      </c>
      <c r="F26" s="161" t="s">
        <v>381</v>
      </c>
      <c r="G26" s="161" t="s">
        <v>382</v>
      </c>
      <c r="H26" s="158" t="s">
        <v>703</v>
      </c>
      <c r="I26" s="158" t="s">
        <v>85</v>
      </c>
      <c r="J26" s="282" t="s">
        <v>700</v>
      </c>
      <c r="K26" s="158" t="s">
        <v>33</v>
      </c>
      <c r="L26" s="279">
        <v>3908770</v>
      </c>
      <c r="M26" s="158" t="s">
        <v>20</v>
      </c>
    </row>
    <row r="27" spans="2:13" ht="18" hidden="1" x14ac:dyDescent="0.3">
      <c r="B27" s="161">
        <v>43878</v>
      </c>
      <c r="C27" s="157" t="s">
        <v>384</v>
      </c>
      <c r="D27" s="158" t="s">
        <v>647</v>
      </c>
      <c r="E27" s="158" t="s">
        <v>340</v>
      </c>
      <c r="F27" s="161" t="s">
        <v>381</v>
      </c>
      <c r="G27" s="161" t="s">
        <v>382</v>
      </c>
      <c r="H27" s="158" t="s">
        <v>704</v>
      </c>
      <c r="I27" s="158" t="s">
        <v>85</v>
      </c>
      <c r="J27" s="282">
        <v>43886</v>
      </c>
      <c r="K27" s="158" t="s">
        <v>322</v>
      </c>
      <c r="L27" s="279">
        <v>1562347</v>
      </c>
      <c r="M27" s="158" t="s">
        <v>20</v>
      </c>
    </row>
    <row r="28" spans="2:13" ht="18" hidden="1" x14ac:dyDescent="0.3">
      <c r="B28" s="161">
        <v>43878</v>
      </c>
      <c r="C28" s="157" t="s">
        <v>384</v>
      </c>
      <c r="D28" s="158" t="s">
        <v>647</v>
      </c>
      <c r="E28" s="158" t="s">
        <v>340</v>
      </c>
      <c r="F28" s="161" t="s">
        <v>381</v>
      </c>
      <c r="G28" s="161" t="s">
        <v>382</v>
      </c>
      <c r="H28" s="158" t="s">
        <v>705</v>
      </c>
      <c r="I28" s="158" t="s">
        <v>85</v>
      </c>
      <c r="J28" s="282">
        <v>43888</v>
      </c>
      <c r="K28" s="158" t="s">
        <v>322</v>
      </c>
      <c r="L28" s="279">
        <v>895000</v>
      </c>
      <c r="M28" s="158" t="s">
        <v>20</v>
      </c>
    </row>
    <row r="29" spans="2:13" ht="18" hidden="1" x14ac:dyDescent="0.3">
      <c r="B29" s="161">
        <v>43878</v>
      </c>
      <c r="C29" s="157" t="s">
        <v>706</v>
      </c>
      <c r="D29" s="158" t="s">
        <v>647</v>
      </c>
      <c r="E29" s="158" t="s">
        <v>340</v>
      </c>
      <c r="F29" s="161" t="s">
        <v>381</v>
      </c>
      <c r="G29" s="161" t="s">
        <v>382</v>
      </c>
      <c r="H29" s="158" t="s">
        <v>383</v>
      </c>
      <c r="I29" s="158" t="s">
        <v>85</v>
      </c>
      <c r="J29" s="282" t="s">
        <v>707</v>
      </c>
      <c r="K29" s="158" t="s">
        <v>33</v>
      </c>
      <c r="L29" s="279">
        <v>3581099</v>
      </c>
      <c r="M29" s="158" t="s">
        <v>20</v>
      </c>
    </row>
    <row r="30" spans="2:13" ht="18" hidden="1" x14ac:dyDescent="0.3">
      <c r="B30" s="161">
        <v>43878</v>
      </c>
      <c r="C30" s="157" t="s">
        <v>708</v>
      </c>
      <c r="D30" s="158" t="s">
        <v>647</v>
      </c>
      <c r="E30" s="158" t="s">
        <v>340</v>
      </c>
      <c r="F30" s="161" t="s">
        <v>381</v>
      </c>
      <c r="G30" s="161" t="s">
        <v>382</v>
      </c>
      <c r="H30" s="158" t="s">
        <v>383</v>
      </c>
      <c r="I30" s="158" t="s">
        <v>85</v>
      </c>
      <c r="J30" s="282" t="s">
        <v>707</v>
      </c>
      <c r="K30" s="158" t="s">
        <v>33</v>
      </c>
      <c r="L30" s="279">
        <v>3581099</v>
      </c>
      <c r="M30" s="158" t="s">
        <v>20</v>
      </c>
    </row>
    <row r="31" spans="2:13" ht="18" hidden="1" x14ac:dyDescent="0.3">
      <c r="B31" s="161">
        <v>43878</v>
      </c>
      <c r="C31" s="157" t="s">
        <v>709</v>
      </c>
      <c r="D31" s="158" t="s">
        <v>647</v>
      </c>
      <c r="E31" s="158" t="s">
        <v>340</v>
      </c>
      <c r="F31" s="161" t="s">
        <v>381</v>
      </c>
      <c r="G31" s="161" t="s">
        <v>382</v>
      </c>
      <c r="H31" s="158" t="s">
        <v>383</v>
      </c>
      <c r="I31" s="158" t="s">
        <v>85</v>
      </c>
      <c r="J31" s="282" t="s">
        <v>707</v>
      </c>
      <c r="K31" s="158" t="s">
        <v>33</v>
      </c>
      <c r="L31" s="279">
        <v>3581099</v>
      </c>
      <c r="M31" s="158" t="s">
        <v>20</v>
      </c>
    </row>
    <row r="32" spans="2:13" ht="18" hidden="1" x14ac:dyDescent="0.3">
      <c r="B32" s="161">
        <v>43879</v>
      </c>
      <c r="C32" s="157" t="s">
        <v>712</v>
      </c>
      <c r="D32" s="158" t="s">
        <v>647</v>
      </c>
      <c r="E32" s="158" t="s">
        <v>446</v>
      </c>
      <c r="F32" s="161" t="s">
        <v>679</v>
      </c>
      <c r="G32" s="161" t="s">
        <v>419</v>
      </c>
      <c r="H32" s="158" t="s">
        <v>420</v>
      </c>
      <c r="I32" s="158" t="s">
        <v>84</v>
      </c>
      <c r="J32" s="282" t="s">
        <v>711</v>
      </c>
      <c r="K32" s="158" t="s">
        <v>33</v>
      </c>
      <c r="L32" s="279">
        <v>2067300</v>
      </c>
      <c r="M32" s="158" t="s">
        <v>19</v>
      </c>
    </row>
    <row r="33" spans="2:13" ht="18" hidden="1" x14ac:dyDescent="0.3">
      <c r="B33" s="161">
        <v>43879</v>
      </c>
      <c r="C33" s="157" t="s">
        <v>713</v>
      </c>
      <c r="D33" s="158" t="s">
        <v>647</v>
      </c>
      <c r="E33" s="158" t="s">
        <v>446</v>
      </c>
      <c r="F33" s="161" t="s">
        <v>679</v>
      </c>
      <c r="G33" s="161" t="s">
        <v>419</v>
      </c>
      <c r="H33" s="158" t="s">
        <v>420</v>
      </c>
      <c r="I33" s="158" t="s">
        <v>84</v>
      </c>
      <c r="J33" s="282" t="s">
        <v>711</v>
      </c>
      <c r="K33" s="158" t="s">
        <v>33</v>
      </c>
      <c r="L33" s="279">
        <v>2067300</v>
      </c>
      <c r="M33" s="158" t="s">
        <v>19</v>
      </c>
    </row>
    <row r="34" spans="2:13" ht="18" hidden="1" x14ac:dyDescent="0.3">
      <c r="B34" s="161">
        <v>43879</v>
      </c>
      <c r="C34" s="157" t="s">
        <v>714</v>
      </c>
      <c r="D34" s="158" t="s">
        <v>647</v>
      </c>
      <c r="E34" s="158" t="s">
        <v>308</v>
      </c>
      <c r="F34" s="161" t="s">
        <v>426</v>
      </c>
      <c r="G34" s="161" t="s">
        <v>301</v>
      </c>
      <c r="H34" s="158" t="s">
        <v>372</v>
      </c>
      <c r="I34" s="158" t="s">
        <v>97</v>
      </c>
      <c r="J34" s="282">
        <v>43880</v>
      </c>
      <c r="K34" s="158" t="s">
        <v>39</v>
      </c>
      <c r="L34" s="279">
        <v>2729841</v>
      </c>
      <c r="M34" s="158" t="s">
        <v>20</v>
      </c>
    </row>
    <row r="35" spans="2:13" ht="18" hidden="1" x14ac:dyDescent="0.3">
      <c r="B35" s="161">
        <v>43879</v>
      </c>
      <c r="C35" s="157" t="s">
        <v>715</v>
      </c>
      <c r="D35" s="158" t="s">
        <v>647</v>
      </c>
      <c r="E35" s="158" t="s">
        <v>340</v>
      </c>
      <c r="F35" s="161" t="s">
        <v>381</v>
      </c>
      <c r="G35" s="161" t="s">
        <v>716</v>
      </c>
      <c r="H35" s="158" t="s">
        <v>383</v>
      </c>
      <c r="I35" s="158" t="s">
        <v>85</v>
      </c>
      <c r="J35" s="282" t="s">
        <v>717</v>
      </c>
      <c r="K35" s="158" t="s">
        <v>33</v>
      </c>
      <c r="L35" s="279">
        <v>764809</v>
      </c>
      <c r="M35" s="158" t="s">
        <v>20</v>
      </c>
    </row>
    <row r="36" spans="2:13" ht="18" hidden="1" x14ac:dyDescent="0.3">
      <c r="B36" s="161">
        <v>43879</v>
      </c>
      <c r="C36" s="157" t="s">
        <v>718</v>
      </c>
      <c r="D36" s="158" t="s">
        <v>647</v>
      </c>
      <c r="E36" s="158" t="s">
        <v>340</v>
      </c>
      <c r="F36" s="161" t="s">
        <v>381</v>
      </c>
      <c r="G36" s="161" t="s">
        <v>382</v>
      </c>
      <c r="H36" s="158" t="s">
        <v>383</v>
      </c>
      <c r="I36" s="158" t="s">
        <v>85</v>
      </c>
      <c r="J36" s="282" t="s">
        <v>717</v>
      </c>
      <c r="K36" s="158" t="s">
        <v>33</v>
      </c>
      <c r="L36" s="279">
        <v>3163551</v>
      </c>
      <c r="M36" s="158" t="s">
        <v>20</v>
      </c>
    </row>
    <row r="37" spans="2:13" ht="18" hidden="1" x14ac:dyDescent="0.3">
      <c r="B37" s="161">
        <v>43879</v>
      </c>
      <c r="C37" s="157" t="s">
        <v>357</v>
      </c>
      <c r="D37" s="158" t="s">
        <v>647</v>
      </c>
      <c r="E37" s="158" t="s">
        <v>358</v>
      </c>
      <c r="F37" s="161" t="s">
        <v>359</v>
      </c>
      <c r="G37" s="161" t="s">
        <v>360</v>
      </c>
      <c r="H37" s="158" t="s">
        <v>372</v>
      </c>
      <c r="I37" s="158" t="s">
        <v>97</v>
      </c>
      <c r="J37" s="282">
        <v>43880</v>
      </c>
      <c r="K37" s="158" t="s">
        <v>39</v>
      </c>
      <c r="L37" s="279">
        <v>3486103</v>
      </c>
      <c r="M37" s="158" t="s">
        <v>19</v>
      </c>
    </row>
    <row r="38" spans="2:13" ht="18" hidden="1" x14ac:dyDescent="0.3">
      <c r="B38" s="161">
        <v>43880</v>
      </c>
      <c r="C38" s="157" t="s">
        <v>721</v>
      </c>
      <c r="D38" s="158" t="s">
        <v>647</v>
      </c>
      <c r="E38" s="158" t="s">
        <v>365</v>
      </c>
      <c r="F38" s="161" t="s">
        <v>388</v>
      </c>
      <c r="G38" s="161" t="s">
        <v>304</v>
      </c>
      <c r="H38" s="158" t="s">
        <v>354</v>
      </c>
      <c r="I38" s="158" t="s">
        <v>97</v>
      </c>
      <c r="J38" s="282">
        <v>43880</v>
      </c>
      <c r="K38" s="158" t="s">
        <v>33</v>
      </c>
      <c r="L38" s="279">
        <v>3674473</v>
      </c>
      <c r="M38" s="158" t="s">
        <v>20</v>
      </c>
    </row>
    <row r="39" spans="2:13" ht="18" hidden="1" x14ac:dyDescent="0.3">
      <c r="B39" s="161">
        <v>43880</v>
      </c>
      <c r="C39" s="157" t="s">
        <v>722</v>
      </c>
      <c r="D39" s="158" t="s">
        <v>647</v>
      </c>
      <c r="E39" s="158" t="s">
        <v>365</v>
      </c>
      <c r="F39" s="161" t="s">
        <v>388</v>
      </c>
      <c r="G39" s="161" t="s">
        <v>304</v>
      </c>
      <c r="H39" s="158" t="s">
        <v>354</v>
      </c>
      <c r="I39" s="158" t="s">
        <v>97</v>
      </c>
      <c r="J39" s="282">
        <v>43880</v>
      </c>
      <c r="K39" s="158" t="s">
        <v>33</v>
      </c>
      <c r="L39" s="279">
        <v>3674473</v>
      </c>
      <c r="M39" s="158" t="s">
        <v>20</v>
      </c>
    </row>
    <row r="40" spans="2:13" ht="18" hidden="1" x14ac:dyDescent="0.3">
      <c r="B40" s="161">
        <v>43880</v>
      </c>
      <c r="C40" s="157" t="s">
        <v>723</v>
      </c>
      <c r="D40" s="158" t="s">
        <v>647</v>
      </c>
      <c r="E40" s="158" t="s">
        <v>314</v>
      </c>
      <c r="F40" s="161" t="s">
        <v>359</v>
      </c>
      <c r="G40" s="161" t="s">
        <v>301</v>
      </c>
      <c r="H40" s="158" t="s">
        <v>649</v>
      </c>
      <c r="I40" s="158" t="s">
        <v>97</v>
      </c>
      <c r="J40" s="282">
        <v>43882</v>
      </c>
      <c r="K40" s="158" t="s">
        <v>39</v>
      </c>
      <c r="L40" s="279">
        <v>3746201</v>
      </c>
      <c r="M40" s="158" t="s">
        <v>20</v>
      </c>
    </row>
    <row r="41" spans="2:13" ht="18" hidden="1" x14ac:dyDescent="0.3">
      <c r="B41" s="161">
        <v>43881</v>
      </c>
      <c r="C41" s="157" t="s">
        <v>724</v>
      </c>
      <c r="D41" s="158" t="s">
        <v>647</v>
      </c>
      <c r="E41" s="158" t="s">
        <v>425</v>
      </c>
      <c r="F41" s="161" t="s">
        <v>426</v>
      </c>
      <c r="G41" s="161" t="s">
        <v>301</v>
      </c>
      <c r="H41" s="158" t="s">
        <v>725</v>
      </c>
      <c r="I41" s="158" t="s">
        <v>54</v>
      </c>
      <c r="J41" s="282" t="s">
        <v>726</v>
      </c>
      <c r="K41" s="158" t="s">
        <v>39</v>
      </c>
      <c r="L41" s="279">
        <v>32496598</v>
      </c>
      <c r="M41" s="158" t="s">
        <v>20</v>
      </c>
    </row>
    <row r="42" spans="2:13" ht="18" hidden="1" x14ac:dyDescent="0.3">
      <c r="B42" s="161">
        <v>43881</v>
      </c>
      <c r="C42" s="157" t="s">
        <v>727</v>
      </c>
      <c r="D42" s="158" t="s">
        <v>647</v>
      </c>
      <c r="E42" s="158" t="s">
        <v>365</v>
      </c>
      <c r="F42" s="161" t="s">
        <v>366</v>
      </c>
      <c r="G42" s="161" t="s">
        <v>301</v>
      </c>
      <c r="H42" s="158" t="s">
        <v>372</v>
      </c>
      <c r="I42" s="158" t="s">
        <v>97</v>
      </c>
      <c r="J42" s="282">
        <v>43883</v>
      </c>
      <c r="K42" s="158" t="s">
        <v>39</v>
      </c>
      <c r="L42" s="279">
        <v>4487051</v>
      </c>
      <c r="M42" s="158" t="s">
        <v>20</v>
      </c>
    </row>
    <row r="43" spans="2:13" ht="18" hidden="1" x14ac:dyDescent="0.3">
      <c r="B43" s="161">
        <v>43882</v>
      </c>
      <c r="C43" s="157" t="s">
        <v>728</v>
      </c>
      <c r="D43" s="158" t="s">
        <v>647</v>
      </c>
      <c r="E43" s="158" t="s">
        <v>308</v>
      </c>
      <c r="F43" s="161" t="s">
        <v>426</v>
      </c>
      <c r="G43" s="161" t="s">
        <v>301</v>
      </c>
      <c r="H43" s="158" t="s">
        <v>372</v>
      </c>
      <c r="I43" s="158" t="s">
        <v>97</v>
      </c>
      <c r="J43" s="282">
        <v>43882</v>
      </c>
      <c r="K43" s="158" t="s">
        <v>33</v>
      </c>
      <c r="L43" s="279">
        <v>4051753</v>
      </c>
      <c r="M43" s="158" t="s">
        <v>20</v>
      </c>
    </row>
    <row r="44" spans="2:13" ht="18" hidden="1" x14ac:dyDescent="0.3">
      <c r="B44" s="161">
        <v>43882</v>
      </c>
      <c r="C44" s="157" t="s">
        <v>729</v>
      </c>
      <c r="D44" s="158" t="s">
        <v>647</v>
      </c>
      <c r="E44" s="158" t="s">
        <v>412</v>
      </c>
      <c r="F44" s="161" t="s">
        <v>149</v>
      </c>
      <c r="G44" s="161" t="s">
        <v>413</v>
      </c>
      <c r="H44" s="158" t="s">
        <v>372</v>
      </c>
      <c r="I44" s="158" t="s">
        <v>97</v>
      </c>
      <c r="J44" s="282">
        <v>43884</v>
      </c>
      <c r="K44" s="158" t="s">
        <v>33</v>
      </c>
      <c r="L44" s="279">
        <v>3670613</v>
      </c>
      <c r="M44" s="158" t="s">
        <v>19</v>
      </c>
    </row>
    <row r="45" spans="2:13" ht="18" hidden="1" x14ac:dyDescent="0.3">
      <c r="B45" s="161">
        <v>43882</v>
      </c>
      <c r="C45" s="157" t="s">
        <v>730</v>
      </c>
      <c r="D45" s="158" t="s">
        <v>647</v>
      </c>
      <c r="E45" s="158" t="s">
        <v>308</v>
      </c>
      <c r="F45" s="161" t="s">
        <v>426</v>
      </c>
      <c r="G45" s="161" t="s">
        <v>301</v>
      </c>
      <c r="H45" s="158" t="s">
        <v>402</v>
      </c>
      <c r="I45" s="158" t="s">
        <v>97</v>
      </c>
      <c r="J45" s="282" t="s">
        <v>731</v>
      </c>
      <c r="K45" s="158" t="s">
        <v>33</v>
      </c>
      <c r="L45" s="279">
        <v>6470234</v>
      </c>
      <c r="M45" s="158" t="s">
        <v>20</v>
      </c>
    </row>
    <row r="46" spans="2:13" ht="18" hidden="1" x14ac:dyDescent="0.3">
      <c r="B46" s="161">
        <v>43885</v>
      </c>
      <c r="C46" s="157" t="s">
        <v>732</v>
      </c>
      <c r="D46" s="158" t="s">
        <v>647</v>
      </c>
      <c r="E46" s="158" t="s">
        <v>308</v>
      </c>
      <c r="F46" s="161" t="s">
        <v>426</v>
      </c>
      <c r="G46" s="161" t="s">
        <v>304</v>
      </c>
      <c r="H46" s="158" t="s">
        <v>354</v>
      </c>
      <c r="I46" s="158" t="s">
        <v>97</v>
      </c>
      <c r="J46" s="282">
        <v>43887</v>
      </c>
      <c r="K46" s="158" t="s">
        <v>33</v>
      </c>
      <c r="L46" s="279">
        <v>3013251</v>
      </c>
      <c r="M46" s="158" t="s">
        <v>20</v>
      </c>
    </row>
    <row r="47" spans="2:13" ht="18" hidden="1" x14ac:dyDescent="0.3">
      <c r="B47" s="161">
        <v>43886</v>
      </c>
      <c r="C47" s="157" t="s">
        <v>733</v>
      </c>
      <c r="D47" s="158" t="s">
        <v>647</v>
      </c>
      <c r="E47" s="158" t="s">
        <v>412</v>
      </c>
      <c r="F47" s="161" t="s">
        <v>149</v>
      </c>
      <c r="G47" s="161" t="s">
        <v>301</v>
      </c>
      <c r="H47" s="158" t="s">
        <v>372</v>
      </c>
      <c r="I47" s="158" t="s">
        <v>97</v>
      </c>
      <c r="J47" s="282">
        <v>43915</v>
      </c>
      <c r="K47" s="158" t="s">
        <v>39</v>
      </c>
      <c r="L47" s="279">
        <v>2771923</v>
      </c>
      <c r="M47" s="158" t="s">
        <v>19</v>
      </c>
    </row>
    <row r="48" spans="2:13" ht="18" hidden="1" x14ac:dyDescent="0.3">
      <c r="B48" s="161">
        <v>43886</v>
      </c>
      <c r="C48" s="157" t="s">
        <v>733</v>
      </c>
      <c r="D48" s="158" t="s">
        <v>647</v>
      </c>
      <c r="E48" s="158" t="s">
        <v>412</v>
      </c>
      <c r="F48" s="161" t="s">
        <v>149</v>
      </c>
      <c r="G48" s="161" t="s">
        <v>301</v>
      </c>
      <c r="H48" s="158" t="s">
        <v>372</v>
      </c>
      <c r="I48" s="158" t="s">
        <v>97</v>
      </c>
      <c r="J48" s="282">
        <v>43886</v>
      </c>
      <c r="K48" s="158" t="s">
        <v>33</v>
      </c>
      <c r="L48" s="279">
        <v>3289640</v>
      </c>
      <c r="M48" s="158" t="s">
        <v>19</v>
      </c>
    </row>
    <row r="49" spans="2:13" ht="18" hidden="1" x14ac:dyDescent="0.3">
      <c r="B49" s="161">
        <v>43887</v>
      </c>
      <c r="C49" s="157" t="s">
        <v>665</v>
      </c>
      <c r="D49" s="158" t="s">
        <v>647</v>
      </c>
      <c r="E49" s="158" t="s">
        <v>365</v>
      </c>
      <c r="F49" s="161" t="s">
        <v>366</v>
      </c>
      <c r="G49" s="161" t="s">
        <v>304</v>
      </c>
      <c r="H49" s="158" t="s">
        <v>354</v>
      </c>
      <c r="I49" s="158" t="s">
        <v>97</v>
      </c>
      <c r="J49" s="282">
        <v>43887</v>
      </c>
      <c r="K49" s="158" t="s">
        <v>33</v>
      </c>
      <c r="L49" s="279">
        <v>3016171</v>
      </c>
      <c r="M49" s="158" t="s">
        <v>20</v>
      </c>
    </row>
    <row r="50" spans="2:13" ht="18" hidden="1" x14ac:dyDescent="0.3">
      <c r="B50" s="161">
        <v>43887</v>
      </c>
      <c r="C50" s="157" t="s">
        <v>734</v>
      </c>
      <c r="D50" s="158" t="s">
        <v>647</v>
      </c>
      <c r="E50" s="158" t="s">
        <v>365</v>
      </c>
      <c r="F50" s="161" t="s">
        <v>366</v>
      </c>
      <c r="G50" s="161" t="s">
        <v>304</v>
      </c>
      <c r="H50" s="158" t="s">
        <v>354</v>
      </c>
      <c r="I50" s="158" t="s">
        <v>97</v>
      </c>
      <c r="J50" s="282">
        <v>43887</v>
      </c>
      <c r="K50" s="158" t="s">
        <v>33</v>
      </c>
      <c r="L50" s="279">
        <v>3016171</v>
      </c>
      <c r="M50" s="158" t="s">
        <v>20</v>
      </c>
    </row>
    <row r="51" spans="2:13" ht="18" hidden="1" x14ac:dyDescent="0.3">
      <c r="B51" s="161">
        <v>43887</v>
      </c>
      <c r="C51" s="157" t="s">
        <v>735</v>
      </c>
      <c r="D51" s="158" t="s">
        <v>647</v>
      </c>
      <c r="E51" s="158" t="s">
        <v>412</v>
      </c>
      <c r="F51" s="161" t="s">
        <v>149</v>
      </c>
      <c r="G51" s="161" t="s">
        <v>304</v>
      </c>
      <c r="H51" s="158" t="s">
        <v>354</v>
      </c>
      <c r="I51" s="158" t="s">
        <v>97</v>
      </c>
      <c r="J51" s="282">
        <v>43888</v>
      </c>
      <c r="K51" s="158" t="s">
        <v>39</v>
      </c>
      <c r="L51" s="279">
        <v>4640916</v>
      </c>
      <c r="M51" s="158" t="s">
        <v>19</v>
      </c>
    </row>
    <row r="52" spans="2:13" ht="18" hidden="1" x14ac:dyDescent="0.3">
      <c r="B52" s="161">
        <v>43888</v>
      </c>
      <c r="C52" s="157" t="s">
        <v>395</v>
      </c>
      <c r="D52" s="158" t="s">
        <v>647</v>
      </c>
      <c r="E52" s="158" t="s">
        <v>358</v>
      </c>
      <c r="F52" s="161" t="s">
        <v>359</v>
      </c>
      <c r="G52" s="161" t="s">
        <v>304</v>
      </c>
      <c r="H52" s="158" t="s">
        <v>354</v>
      </c>
      <c r="I52" s="158" t="s">
        <v>97</v>
      </c>
      <c r="J52" s="282">
        <v>43889</v>
      </c>
      <c r="K52" s="158" t="s">
        <v>39</v>
      </c>
      <c r="L52" s="279">
        <v>10053054</v>
      </c>
      <c r="M52" s="158" t="s">
        <v>19</v>
      </c>
    </row>
    <row r="53" spans="2:13" ht="18" hidden="1" x14ac:dyDescent="0.3">
      <c r="B53" s="161">
        <v>43889</v>
      </c>
      <c r="C53" s="157" t="s">
        <v>736</v>
      </c>
      <c r="D53" s="158" t="s">
        <v>647</v>
      </c>
      <c r="E53" s="158" t="s">
        <v>365</v>
      </c>
      <c r="F53" s="161" t="s">
        <v>366</v>
      </c>
      <c r="G53" s="161" t="s">
        <v>301</v>
      </c>
      <c r="H53" s="158" t="s">
        <v>402</v>
      </c>
      <c r="I53" s="158" t="s">
        <v>97</v>
      </c>
      <c r="J53" s="282">
        <v>43889</v>
      </c>
      <c r="K53" s="158" t="s">
        <v>39</v>
      </c>
      <c r="L53" s="279">
        <v>4389976</v>
      </c>
      <c r="M53" s="158" t="s">
        <v>20</v>
      </c>
    </row>
    <row r="54" spans="2:13" ht="18" hidden="1" x14ac:dyDescent="0.3">
      <c r="B54" s="161">
        <v>43889</v>
      </c>
      <c r="C54" s="157" t="s">
        <v>718</v>
      </c>
      <c r="D54" s="158" t="s">
        <v>647</v>
      </c>
      <c r="E54" s="158" t="s">
        <v>340</v>
      </c>
      <c r="F54" s="161" t="s">
        <v>381</v>
      </c>
      <c r="G54" s="161" t="s">
        <v>137</v>
      </c>
      <c r="H54" s="158" t="s">
        <v>383</v>
      </c>
      <c r="I54" s="158" t="s">
        <v>85</v>
      </c>
      <c r="J54" s="282">
        <v>43890</v>
      </c>
      <c r="K54" s="158" t="s">
        <v>33</v>
      </c>
      <c r="L54" s="279">
        <v>1142790</v>
      </c>
      <c r="M54" s="158" t="s">
        <v>20</v>
      </c>
    </row>
    <row r="55" spans="2:13" ht="18" hidden="1" x14ac:dyDescent="0.3">
      <c r="B55" s="161">
        <v>43890</v>
      </c>
      <c r="C55" s="157" t="s">
        <v>657</v>
      </c>
      <c r="D55" s="158" t="s">
        <v>647</v>
      </c>
      <c r="E55" s="158" t="s">
        <v>308</v>
      </c>
      <c r="F55" s="161" t="s">
        <v>426</v>
      </c>
      <c r="G55" s="161" t="s">
        <v>304</v>
      </c>
      <c r="H55" s="158" t="s">
        <v>354</v>
      </c>
      <c r="I55" s="158" t="s">
        <v>97</v>
      </c>
      <c r="J55" s="282">
        <v>43890</v>
      </c>
      <c r="K55" s="158" t="s">
        <v>33</v>
      </c>
      <c r="L55" s="279">
        <v>3480992</v>
      </c>
      <c r="M55" s="158" t="s">
        <v>20</v>
      </c>
    </row>
    <row r="56" spans="2:13" ht="18" hidden="1" x14ac:dyDescent="0.3">
      <c r="B56" s="161">
        <v>43865</v>
      </c>
      <c r="C56" s="157" t="s">
        <v>466</v>
      </c>
      <c r="D56" s="158" t="s">
        <v>31</v>
      </c>
      <c r="E56" s="158" t="s">
        <v>121</v>
      </c>
      <c r="F56" s="161" t="s">
        <v>122</v>
      </c>
      <c r="G56" s="161" t="s">
        <v>116</v>
      </c>
      <c r="H56" s="158" t="s">
        <v>467</v>
      </c>
      <c r="I56" s="158" t="s">
        <v>461</v>
      </c>
      <c r="J56" s="282" t="s">
        <v>468</v>
      </c>
      <c r="K56" s="158" t="s">
        <v>33</v>
      </c>
      <c r="L56" s="279">
        <v>6261581</v>
      </c>
      <c r="M56" s="158" t="s">
        <v>20</v>
      </c>
    </row>
    <row r="57" spans="2:13" ht="18" hidden="1" x14ac:dyDescent="0.3">
      <c r="B57" s="161">
        <v>43865</v>
      </c>
      <c r="C57" s="157" t="s">
        <v>469</v>
      </c>
      <c r="D57" s="158" t="s">
        <v>31</v>
      </c>
      <c r="E57" s="158" t="s">
        <v>452</v>
      </c>
      <c r="F57" s="161" t="s">
        <v>126</v>
      </c>
      <c r="G57" s="161" t="s">
        <v>452</v>
      </c>
      <c r="H57" s="158" t="s">
        <v>38</v>
      </c>
      <c r="I57" s="158" t="s">
        <v>97</v>
      </c>
      <c r="J57" s="282">
        <v>43867</v>
      </c>
      <c r="K57" s="158" t="s">
        <v>33</v>
      </c>
      <c r="L57" s="279">
        <v>3156002</v>
      </c>
      <c r="M57" s="158" t="s">
        <v>20</v>
      </c>
    </row>
    <row r="58" spans="2:13" ht="18" hidden="1" x14ac:dyDescent="0.3">
      <c r="B58" s="161">
        <v>43865</v>
      </c>
      <c r="C58" s="157" t="s">
        <v>470</v>
      </c>
      <c r="D58" s="158" t="s">
        <v>31</v>
      </c>
      <c r="E58" s="158" t="s">
        <v>452</v>
      </c>
      <c r="F58" s="161" t="s">
        <v>126</v>
      </c>
      <c r="G58" s="161" t="s">
        <v>452</v>
      </c>
      <c r="H58" s="158" t="s">
        <v>471</v>
      </c>
      <c r="I58" s="158" t="s">
        <v>97</v>
      </c>
      <c r="J58" s="282">
        <v>43871</v>
      </c>
      <c r="K58" s="158" t="s">
        <v>33</v>
      </c>
      <c r="L58" s="279">
        <v>4807527</v>
      </c>
      <c r="M58" s="158" t="s">
        <v>20</v>
      </c>
    </row>
    <row r="59" spans="2:13" ht="18" hidden="1" x14ac:dyDescent="0.3">
      <c r="B59" s="161">
        <v>43870</v>
      </c>
      <c r="C59" s="157" t="s">
        <v>476</v>
      </c>
      <c r="D59" s="158" t="s">
        <v>31</v>
      </c>
      <c r="E59" s="158" t="s">
        <v>121</v>
      </c>
      <c r="F59" s="161" t="s">
        <v>477</v>
      </c>
      <c r="G59" s="161" t="s">
        <v>116</v>
      </c>
      <c r="H59" s="158" t="s">
        <v>467</v>
      </c>
      <c r="I59" s="158" t="s">
        <v>461</v>
      </c>
      <c r="J59" s="282" t="s">
        <v>478</v>
      </c>
      <c r="K59" s="158" t="s">
        <v>33</v>
      </c>
      <c r="L59" s="279">
        <v>4995345</v>
      </c>
      <c r="M59" s="158" t="s">
        <v>20</v>
      </c>
    </row>
    <row r="60" spans="2:13" ht="18" hidden="1" x14ac:dyDescent="0.3">
      <c r="B60" s="161">
        <v>43870</v>
      </c>
      <c r="C60" s="157" t="s">
        <v>479</v>
      </c>
      <c r="D60" s="158" t="s">
        <v>31</v>
      </c>
      <c r="E60" s="158" t="s">
        <v>121</v>
      </c>
      <c r="F60" s="161" t="s">
        <v>477</v>
      </c>
      <c r="G60" s="161" t="s">
        <v>116</v>
      </c>
      <c r="H60" s="158" t="s">
        <v>480</v>
      </c>
      <c r="I60" s="158" t="s">
        <v>54</v>
      </c>
      <c r="J60" s="282">
        <v>43871</v>
      </c>
      <c r="K60" s="158" t="s">
        <v>180</v>
      </c>
      <c r="L60" s="279">
        <v>5810031</v>
      </c>
      <c r="M60" s="158" t="s">
        <v>20</v>
      </c>
    </row>
    <row r="61" spans="2:13" ht="18" hidden="1" x14ac:dyDescent="0.3">
      <c r="B61" s="161">
        <v>43870</v>
      </c>
      <c r="C61" s="157" t="s">
        <v>479</v>
      </c>
      <c r="D61" s="158" t="s">
        <v>31</v>
      </c>
      <c r="E61" s="158" t="s">
        <v>121</v>
      </c>
      <c r="F61" s="161" t="s">
        <v>477</v>
      </c>
      <c r="G61" s="161" t="s">
        <v>116</v>
      </c>
      <c r="H61" s="158" t="s">
        <v>481</v>
      </c>
      <c r="I61" s="158" t="s">
        <v>54</v>
      </c>
      <c r="J61" s="282">
        <v>43873</v>
      </c>
      <c r="K61" s="158" t="s">
        <v>33</v>
      </c>
      <c r="L61" s="279">
        <v>1079635</v>
      </c>
      <c r="M61" s="158" t="s">
        <v>20</v>
      </c>
    </row>
    <row r="62" spans="2:13" ht="18" hidden="1" x14ac:dyDescent="0.3">
      <c r="B62" s="161">
        <v>43870</v>
      </c>
      <c r="C62" s="157" t="s">
        <v>482</v>
      </c>
      <c r="D62" s="158" t="s">
        <v>31</v>
      </c>
      <c r="E62" s="158" t="s">
        <v>121</v>
      </c>
      <c r="F62" s="161" t="s">
        <v>477</v>
      </c>
      <c r="G62" s="161" t="s">
        <v>116</v>
      </c>
      <c r="H62" s="158" t="s">
        <v>480</v>
      </c>
      <c r="I62" s="158" t="s">
        <v>54</v>
      </c>
      <c r="J62" s="282">
        <v>43871</v>
      </c>
      <c r="K62" s="158" t="s">
        <v>180</v>
      </c>
      <c r="L62" s="279">
        <v>5810031</v>
      </c>
      <c r="M62" s="158" t="s">
        <v>20</v>
      </c>
    </row>
    <row r="63" spans="2:13" ht="18" hidden="1" x14ac:dyDescent="0.3">
      <c r="B63" s="161">
        <v>43870</v>
      </c>
      <c r="C63" s="157" t="s">
        <v>482</v>
      </c>
      <c r="D63" s="158" t="s">
        <v>31</v>
      </c>
      <c r="E63" s="158" t="s">
        <v>121</v>
      </c>
      <c r="F63" s="161" t="s">
        <v>477</v>
      </c>
      <c r="G63" s="161" t="s">
        <v>116</v>
      </c>
      <c r="H63" s="158" t="s">
        <v>483</v>
      </c>
      <c r="I63" s="158" t="s">
        <v>54</v>
      </c>
      <c r="J63" s="282">
        <v>43873</v>
      </c>
      <c r="K63" s="158" t="s">
        <v>180</v>
      </c>
      <c r="L63" s="279">
        <v>5516609</v>
      </c>
      <c r="M63" s="158" t="s">
        <v>20</v>
      </c>
    </row>
    <row r="64" spans="2:13" ht="18" hidden="1" x14ac:dyDescent="0.3">
      <c r="B64" s="161">
        <v>43870</v>
      </c>
      <c r="C64" s="157" t="s">
        <v>484</v>
      </c>
      <c r="D64" s="158" t="s">
        <v>31</v>
      </c>
      <c r="E64" s="158" t="s">
        <v>165</v>
      </c>
      <c r="F64" s="161" t="s">
        <v>485</v>
      </c>
      <c r="G64" s="161" t="s">
        <v>486</v>
      </c>
      <c r="H64" s="158" t="s">
        <v>38</v>
      </c>
      <c r="I64" s="158" t="s">
        <v>97</v>
      </c>
      <c r="J64" s="282">
        <v>43873</v>
      </c>
      <c r="K64" s="158" t="s">
        <v>33</v>
      </c>
      <c r="L64" s="279">
        <v>635079</v>
      </c>
      <c r="M64" s="158" t="s">
        <v>19</v>
      </c>
    </row>
    <row r="65" spans="2:13" ht="18" hidden="1" x14ac:dyDescent="0.3">
      <c r="B65" s="161">
        <v>43871</v>
      </c>
      <c r="C65" s="157" t="s">
        <v>496</v>
      </c>
      <c r="D65" s="158" t="s">
        <v>31</v>
      </c>
      <c r="E65" s="158" t="s">
        <v>131</v>
      </c>
      <c r="F65" s="161" t="s">
        <v>132</v>
      </c>
      <c r="G65" s="161" t="s">
        <v>116</v>
      </c>
      <c r="H65" s="158" t="s">
        <v>497</v>
      </c>
      <c r="I65" s="158" t="s">
        <v>71</v>
      </c>
      <c r="J65" s="282" t="s">
        <v>498</v>
      </c>
      <c r="K65" s="158" t="s">
        <v>39</v>
      </c>
      <c r="L65" s="279">
        <v>5278449</v>
      </c>
      <c r="M65" s="158" t="s">
        <v>20</v>
      </c>
    </row>
    <row r="66" spans="2:13" ht="18" hidden="1" x14ac:dyDescent="0.3">
      <c r="B66" s="161">
        <v>43871</v>
      </c>
      <c r="C66" s="157" t="s">
        <v>496</v>
      </c>
      <c r="D66" s="158" t="s">
        <v>31</v>
      </c>
      <c r="E66" s="158" t="s">
        <v>131</v>
      </c>
      <c r="F66" s="161" t="s">
        <v>132</v>
      </c>
      <c r="G66" s="161" t="s">
        <v>116</v>
      </c>
      <c r="H66" s="158" t="s">
        <v>494</v>
      </c>
      <c r="I66" s="158" t="s">
        <v>489</v>
      </c>
      <c r="J66" s="282" t="s">
        <v>492</v>
      </c>
      <c r="K66" s="158" t="s">
        <v>33</v>
      </c>
      <c r="L66" s="279">
        <v>518648</v>
      </c>
      <c r="M66" s="158" t="s">
        <v>20</v>
      </c>
    </row>
    <row r="67" spans="2:13" ht="18" hidden="1" x14ac:dyDescent="0.3">
      <c r="B67" s="161">
        <v>43871</v>
      </c>
      <c r="C67" s="157" t="s">
        <v>499</v>
      </c>
      <c r="D67" s="158" t="s">
        <v>31</v>
      </c>
      <c r="E67" s="158" t="s">
        <v>131</v>
      </c>
      <c r="F67" s="161" t="s">
        <v>132</v>
      </c>
      <c r="G67" s="161" t="s">
        <v>116</v>
      </c>
      <c r="H67" s="158" t="s">
        <v>497</v>
      </c>
      <c r="I67" s="158" t="s">
        <v>71</v>
      </c>
      <c r="J67" s="282" t="s">
        <v>498</v>
      </c>
      <c r="K67" s="158" t="s">
        <v>39</v>
      </c>
      <c r="L67" s="279">
        <v>5278449</v>
      </c>
      <c r="M67" s="158" t="s">
        <v>20</v>
      </c>
    </row>
    <row r="68" spans="2:13" ht="18" hidden="1" x14ac:dyDescent="0.3">
      <c r="B68" s="161">
        <v>43871</v>
      </c>
      <c r="C68" s="157" t="s">
        <v>499</v>
      </c>
      <c r="D68" s="158" t="s">
        <v>31</v>
      </c>
      <c r="E68" s="158" t="s">
        <v>131</v>
      </c>
      <c r="F68" s="161" t="s">
        <v>132</v>
      </c>
      <c r="G68" s="161" t="s">
        <v>116</v>
      </c>
      <c r="H68" s="158" t="s">
        <v>494</v>
      </c>
      <c r="I68" s="158" t="s">
        <v>489</v>
      </c>
      <c r="J68" s="282" t="s">
        <v>492</v>
      </c>
      <c r="K68" s="158" t="s">
        <v>33</v>
      </c>
      <c r="L68" s="279">
        <v>518648</v>
      </c>
      <c r="M68" s="158" t="s">
        <v>20</v>
      </c>
    </row>
    <row r="69" spans="2:13" ht="18" hidden="1" x14ac:dyDescent="0.3">
      <c r="B69" s="161">
        <v>43871</v>
      </c>
      <c r="C69" s="157" t="s">
        <v>500</v>
      </c>
      <c r="D69" s="158" t="s">
        <v>31</v>
      </c>
      <c r="E69" s="158" t="s">
        <v>131</v>
      </c>
      <c r="F69" s="161" t="s">
        <v>132</v>
      </c>
      <c r="G69" s="161" t="s">
        <v>116</v>
      </c>
      <c r="H69" s="158" t="s">
        <v>494</v>
      </c>
      <c r="I69" s="158" t="s">
        <v>489</v>
      </c>
      <c r="J69" s="282" t="s">
        <v>492</v>
      </c>
      <c r="K69" s="158" t="s">
        <v>33</v>
      </c>
      <c r="L69" s="279">
        <v>497479</v>
      </c>
      <c r="M69" s="158" t="s">
        <v>20</v>
      </c>
    </row>
    <row r="70" spans="2:13" ht="18" hidden="1" x14ac:dyDescent="0.3">
      <c r="B70" s="161">
        <v>43871</v>
      </c>
      <c r="C70" s="157" t="s">
        <v>501</v>
      </c>
      <c r="D70" s="158" t="s">
        <v>31</v>
      </c>
      <c r="E70" s="158" t="s">
        <v>131</v>
      </c>
      <c r="F70" s="161" t="s">
        <v>132</v>
      </c>
      <c r="G70" s="161" t="s">
        <v>116</v>
      </c>
      <c r="H70" s="158" t="s">
        <v>494</v>
      </c>
      <c r="I70" s="158" t="s">
        <v>489</v>
      </c>
      <c r="J70" s="282" t="s">
        <v>492</v>
      </c>
      <c r="K70" s="158" t="s">
        <v>33</v>
      </c>
      <c r="L70" s="279">
        <v>497479</v>
      </c>
      <c r="M70" s="158" t="s">
        <v>20</v>
      </c>
    </row>
    <row r="71" spans="2:13" ht="18" hidden="1" x14ac:dyDescent="0.3">
      <c r="B71" s="161">
        <v>43871</v>
      </c>
      <c r="C71" s="157" t="s">
        <v>500</v>
      </c>
      <c r="D71" s="158" t="s">
        <v>31</v>
      </c>
      <c r="E71" s="158" t="s">
        <v>131</v>
      </c>
      <c r="F71" s="161" t="s">
        <v>132</v>
      </c>
      <c r="G71" s="161" t="s">
        <v>116</v>
      </c>
      <c r="H71" s="158" t="s">
        <v>497</v>
      </c>
      <c r="I71" s="158" t="s">
        <v>71</v>
      </c>
      <c r="J71" s="282" t="s">
        <v>498</v>
      </c>
      <c r="K71" s="158" t="s">
        <v>39</v>
      </c>
      <c r="L71" s="279">
        <v>5278449</v>
      </c>
      <c r="M71" s="158" t="s">
        <v>20</v>
      </c>
    </row>
    <row r="72" spans="2:13" ht="18" hidden="1" x14ac:dyDescent="0.3">
      <c r="B72" s="161">
        <v>43871</v>
      </c>
      <c r="C72" s="157" t="s">
        <v>501</v>
      </c>
      <c r="D72" s="158" t="s">
        <v>31</v>
      </c>
      <c r="E72" s="158" t="s">
        <v>131</v>
      </c>
      <c r="F72" s="161" t="s">
        <v>132</v>
      </c>
      <c r="G72" s="161" t="s">
        <v>116</v>
      </c>
      <c r="H72" s="158" t="s">
        <v>497</v>
      </c>
      <c r="I72" s="158" t="s">
        <v>71</v>
      </c>
      <c r="J72" s="282" t="s">
        <v>498</v>
      </c>
      <c r="K72" s="158" t="s">
        <v>39</v>
      </c>
      <c r="L72" s="279">
        <v>5278449</v>
      </c>
      <c r="M72" s="158" t="s">
        <v>20</v>
      </c>
    </row>
    <row r="73" spans="2:13" ht="18" hidden="1" x14ac:dyDescent="0.3">
      <c r="B73" s="161">
        <v>43871</v>
      </c>
      <c r="C73" s="157" t="s">
        <v>502</v>
      </c>
      <c r="D73" s="158" t="s">
        <v>31</v>
      </c>
      <c r="E73" s="158" t="s">
        <v>158</v>
      </c>
      <c r="F73" s="161" t="s">
        <v>204</v>
      </c>
      <c r="G73" s="161" t="s">
        <v>116</v>
      </c>
      <c r="H73" s="158" t="s">
        <v>503</v>
      </c>
      <c r="I73" s="158" t="s">
        <v>97</v>
      </c>
      <c r="J73" s="282">
        <v>43874</v>
      </c>
      <c r="K73" s="158" t="s">
        <v>39</v>
      </c>
      <c r="L73" s="279">
        <v>628485</v>
      </c>
      <c r="M73" s="158" t="s">
        <v>20</v>
      </c>
    </row>
    <row r="74" spans="2:13" ht="18" hidden="1" x14ac:dyDescent="0.3">
      <c r="B74" s="161">
        <v>43871</v>
      </c>
      <c r="C74" s="157" t="s">
        <v>502</v>
      </c>
      <c r="D74" s="158" t="s">
        <v>31</v>
      </c>
      <c r="E74" s="158" t="s">
        <v>158</v>
      </c>
      <c r="F74" s="161" t="s">
        <v>204</v>
      </c>
      <c r="G74" s="161" t="s">
        <v>116</v>
      </c>
      <c r="H74" s="158" t="s">
        <v>504</v>
      </c>
      <c r="I74" s="158" t="s">
        <v>97</v>
      </c>
      <c r="J74" s="282">
        <v>43877</v>
      </c>
      <c r="K74" s="158" t="s">
        <v>39</v>
      </c>
      <c r="L74" s="279">
        <v>596515</v>
      </c>
      <c r="M74" s="158" t="s">
        <v>20</v>
      </c>
    </row>
    <row r="75" spans="2:13" ht="18" hidden="1" x14ac:dyDescent="0.3">
      <c r="B75" s="161">
        <v>43871</v>
      </c>
      <c r="C75" s="157" t="s">
        <v>502</v>
      </c>
      <c r="D75" s="158" t="s">
        <v>31</v>
      </c>
      <c r="E75" s="158" t="s">
        <v>158</v>
      </c>
      <c r="F75" s="161" t="s">
        <v>204</v>
      </c>
      <c r="G75" s="161" t="s">
        <v>116</v>
      </c>
      <c r="H75" s="158" t="s">
        <v>35</v>
      </c>
      <c r="I75" s="158" t="s">
        <v>97</v>
      </c>
      <c r="J75" s="282" t="s">
        <v>505</v>
      </c>
      <c r="K75" s="158" t="s">
        <v>33</v>
      </c>
      <c r="L75" s="279">
        <v>6198445</v>
      </c>
      <c r="M75" s="158" t="s">
        <v>20</v>
      </c>
    </row>
    <row r="76" spans="2:13" ht="18" hidden="1" x14ac:dyDescent="0.3">
      <c r="B76" s="161">
        <v>43871</v>
      </c>
      <c r="C76" s="157" t="s">
        <v>506</v>
      </c>
      <c r="D76" s="158" t="s">
        <v>31</v>
      </c>
      <c r="E76" s="158" t="s">
        <v>507</v>
      </c>
      <c r="F76" s="161" t="s">
        <v>269</v>
      </c>
      <c r="G76" s="161" t="s">
        <v>116</v>
      </c>
      <c r="H76" s="158" t="s">
        <v>192</v>
      </c>
      <c r="I76" s="158" t="s">
        <v>453</v>
      </c>
      <c r="J76" s="282">
        <v>43873</v>
      </c>
      <c r="K76" s="158" t="s">
        <v>33</v>
      </c>
      <c r="L76" s="279">
        <v>4489418</v>
      </c>
      <c r="M76" s="158" t="s">
        <v>20</v>
      </c>
    </row>
    <row r="77" spans="2:13" ht="18" hidden="1" x14ac:dyDescent="0.3">
      <c r="B77" s="161">
        <v>43871</v>
      </c>
      <c r="C77" s="157" t="s">
        <v>508</v>
      </c>
      <c r="D77" s="158" t="s">
        <v>31</v>
      </c>
      <c r="E77" s="158" t="s">
        <v>507</v>
      </c>
      <c r="F77" s="161" t="s">
        <v>269</v>
      </c>
      <c r="G77" s="161" t="s">
        <v>116</v>
      </c>
      <c r="H77" s="158" t="s">
        <v>192</v>
      </c>
      <c r="I77" s="158" t="s">
        <v>453</v>
      </c>
      <c r="J77" s="282">
        <v>43873</v>
      </c>
      <c r="K77" s="158" t="s">
        <v>33</v>
      </c>
      <c r="L77" s="279">
        <v>4488526</v>
      </c>
      <c r="M77" s="158" t="s">
        <v>20</v>
      </c>
    </row>
    <row r="78" spans="2:13" ht="18" hidden="1" x14ac:dyDescent="0.3">
      <c r="B78" s="161">
        <v>43871</v>
      </c>
      <c r="C78" s="157" t="s">
        <v>509</v>
      </c>
      <c r="D78" s="158" t="s">
        <v>31</v>
      </c>
      <c r="E78" s="158" t="s">
        <v>507</v>
      </c>
      <c r="F78" s="161" t="s">
        <v>269</v>
      </c>
      <c r="G78" s="161" t="s">
        <v>116</v>
      </c>
      <c r="H78" s="158" t="s">
        <v>192</v>
      </c>
      <c r="I78" s="158" t="s">
        <v>453</v>
      </c>
      <c r="J78" s="282">
        <v>43873</v>
      </c>
      <c r="K78" s="158" t="s">
        <v>33</v>
      </c>
      <c r="L78" s="279">
        <v>8372776</v>
      </c>
      <c r="M78" s="158" t="s">
        <v>20</v>
      </c>
    </row>
    <row r="79" spans="2:13" ht="18" hidden="1" x14ac:dyDescent="0.3">
      <c r="B79" s="161">
        <v>43872</v>
      </c>
      <c r="C79" s="157" t="s">
        <v>509</v>
      </c>
      <c r="D79" s="158" t="s">
        <v>31</v>
      </c>
      <c r="E79" s="158" t="s">
        <v>507</v>
      </c>
      <c r="F79" s="161" t="s">
        <v>269</v>
      </c>
      <c r="G79" s="161" t="s">
        <v>116</v>
      </c>
      <c r="H79" s="158" t="s">
        <v>510</v>
      </c>
      <c r="I79" s="158" t="s">
        <v>511</v>
      </c>
      <c r="J79" s="282">
        <v>43873</v>
      </c>
      <c r="K79" s="158" t="s">
        <v>143</v>
      </c>
      <c r="L79" s="279">
        <v>2204904</v>
      </c>
      <c r="M79" s="158" t="s">
        <v>20</v>
      </c>
    </row>
    <row r="80" spans="2:13" ht="18" hidden="1" x14ac:dyDescent="0.3">
      <c r="B80" s="161"/>
      <c r="C80" s="157"/>
      <c r="D80" s="158"/>
      <c r="E80" s="158"/>
      <c r="F80" s="161"/>
      <c r="G80" s="161"/>
      <c r="H80" s="158"/>
      <c r="I80" s="158"/>
      <c r="J80" s="282"/>
      <c r="K80" s="158"/>
      <c r="L80" s="279"/>
      <c r="M80" s="158"/>
    </row>
    <row r="81" spans="2:13" ht="18" hidden="1" x14ac:dyDescent="0.3">
      <c r="B81" s="161">
        <v>43873</v>
      </c>
      <c r="C81" s="157" t="s">
        <v>514</v>
      </c>
      <c r="D81" s="158" t="s">
        <v>31</v>
      </c>
      <c r="E81" s="158" t="s">
        <v>452</v>
      </c>
      <c r="F81" s="161" t="s">
        <v>126</v>
      </c>
      <c r="G81" s="161" t="s">
        <v>452</v>
      </c>
      <c r="H81" s="158" t="s">
        <v>37</v>
      </c>
      <c r="I81" s="158" t="s">
        <v>97</v>
      </c>
      <c r="J81" s="282" t="s">
        <v>515</v>
      </c>
      <c r="K81" s="158" t="s">
        <v>33</v>
      </c>
      <c r="L81" s="279">
        <v>5375930</v>
      </c>
      <c r="M81" s="158" t="s">
        <v>20</v>
      </c>
    </row>
    <row r="82" spans="2:13" ht="18" hidden="1" x14ac:dyDescent="0.3">
      <c r="B82" s="161">
        <v>43873</v>
      </c>
      <c r="C82" s="157" t="s">
        <v>514</v>
      </c>
      <c r="D82" s="158" t="s">
        <v>31</v>
      </c>
      <c r="E82" s="158" t="s">
        <v>452</v>
      </c>
      <c r="F82" s="161" t="s">
        <v>126</v>
      </c>
      <c r="G82" s="161" t="s">
        <v>452</v>
      </c>
      <c r="H82" s="158" t="s">
        <v>516</v>
      </c>
      <c r="I82" s="158" t="s">
        <v>97</v>
      </c>
      <c r="J82" s="282" t="s">
        <v>515</v>
      </c>
      <c r="K82" s="158" t="s">
        <v>39</v>
      </c>
      <c r="L82" s="279">
        <v>1120625</v>
      </c>
      <c r="M82" s="158" t="s">
        <v>20</v>
      </c>
    </row>
    <row r="83" spans="2:13" ht="18" hidden="1" x14ac:dyDescent="0.3">
      <c r="B83" s="161">
        <v>43873</v>
      </c>
      <c r="C83" s="157" t="s">
        <v>514</v>
      </c>
      <c r="D83" s="158" t="s">
        <v>31</v>
      </c>
      <c r="E83" s="158" t="s">
        <v>452</v>
      </c>
      <c r="F83" s="161" t="s">
        <v>126</v>
      </c>
      <c r="G83" s="161" t="s">
        <v>452</v>
      </c>
      <c r="H83" s="158" t="s">
        <v>38</v>
      </c>
      <c r="I83" s="158" t="s">
        <v>97</v>
      </c>
      <c r="J83" s="282">
        <v>43881</v>
      </c>
      <c r="K83" s="158" t="s">
        <v>39</v>
      </c>
      <c r="L83" s="279">
        <v>2592975</v>
      </c>
      <c r="M83" s="158" t="s">
        <v>20</v>
      </c>
    </row>
    <row r="84" spans="2:13" ht="18" hidden="1" x14ac:dyDescent="0.3">
      <c r="B84" s="161">
        <v>43873</v>
      </c>
      <c r="C84" s="157" t="s">
        <v>517</v>
      </c>
      <c r="D84" s="158" t="s">
        <v>31</v>
      </c>
      <c r="E84" s="158" t="s">
        <v>452</v>
      </c>
      <c r="F84" s="161" t="s">
        <v>126</v>
      </c>
      <c r="G84" s="161" t="s">
        <v>452</v>
      </c>
      <c r="H84" s="158" t="s">
        <v>37</v>
      </c>
      <c r="I84" s="158" t="s">
        <v>97</v>
      </c>
      <c r="J84" s="282" t="s">
        <v>515</v>
      </c>
      <c r="K84" s="158" t="s">
        <v>33</v>
      </c>
      <c r="L84" s="279">
        <v>5375930</v>
      </c>
      <c r="M84" s="158" t="s">
        <v>20</v>
      </c>
    </row>
    <row r="85" spans="2:13" ht="18" hidden="1" x14ac:dyDescent="0.3">
      <c r="B85" s="161">
        <v>43873</v>
      </c>
      <c r="C85" s="157" t="s">
        <v>517</v>
      </c>
      <c r="D85" s="158" t="s">
        <v>31</v>
      </c>
      <c r="E85" s="158" t="s">
        <v>452</v>
      </c>
      <c r="F85" s="161" t="s">
        <v>126</v>
      </c>
      <c r="G85" s="161" t="s">
        <v>452</v>
      </c>
      <c r="H85" s="158" t="s">
        <v>38</v>
      </c>
      <c r="I85" s="158" t="s">
        <v>97</v>
      </c>
      <c r="J85" s="282">
        <v>43881</v>
      </c>
      <c r="K85" s="158" t="s">
        <v>39</v>
      </c>
      <c r="L85" s="279">
        <v>2415517</v>
      </c>
      <c r="M85" s="158" t="s">
        <v>20</v>
      </c>
    </row>
    <row r="86" spans="2:13" ht="18" hidden="1" x14ac:dyDescent="0.3">
      <c r="B86" s="161">
        <v>43874</v>
      </c>
      <c r="C86" s="157" t="s">
        <v>154</v>
      </c>
      <c r="D86" s="158" t="s">
        <v>31</v>
      </c>
      <c r="E86" s="158" t="s">
        <v>121</v>
      </c>
      <c r="F86" s="161" t="s">
        <v>155</v>
      </c>
      <c r="G86" s="161" t="s">
        <v>116</v>
      </c>
      <c r="H86" s="158" t="s">
        <v>35</v>
      </c>
      <c r="I86" s="158" t="s">
        <v>97</v>
      </c>
      <c r="J86" s="282" t="s">
        <v>492</v>
      </c>
      <c r="K86" s="158" t="s">
        <v>33</v>
      </c>
      <c r="L86" s="279">
        <v>6585202</v>
      </c>
      <c r="M86" s="158" t="s">
        <v>20</v>
      </c>
    </row>
    <row r="87" spans="2:13" ht="18" hidden="1" x14ac:dyDescent="0.3">
      <c r="B87" s="161">
        <v>43874</v>
      </c>
      <c r="C87" s="157" t="s">
        <v>154</v>
      </c>
      <c r="D87" s="158" t="s">
        <v>31</v>
      </c>
      <c r="E87" s="158" t="s">
        <v>121</v>
      </c>
      <c r="F87" s="161" t="s">
        <v>155</v>
      </c>
      <c r="G87" s="161" t="s">
        <v>457</v>
      </c>
      <c r="H87" s="158" t="s">
        <v>35</v>
      </c>
      <c r="I87" s="158" t="s">
        <v>97</v>
      </c>
      <c r="J87" s="282" t="s">
        <v>492</v>
      </c>
      <c r="K87" s="158" t="s">
        <v>33</v>
      </c>
      <c r="L87" s="279">
        <v>229651</v>
      </c>
      <c r="M87" s="158" t="s">
        <v>20</v>
      </c>
    </row>
    <row r="88" spans="2:13" ht="18" hidden="1" x14ac:dyDescent="0.3">
      <c r="B88" s="161">
        <v>43875</v>
      </c>
      <c r="C88" s="157" t="s">
        <v>525</v>
      </c>
      <c r="D88" s="158" t="s">
        <v>31</v>
      </c>
      <c r="E88" s="158" t="s">
        <v>107</v>
      </c>
      <c r="F88" s="161" t="s">
        <v>227</v>
      </c>
      <c r="G88" s="161" t="s">
        <v>116</v>
      </c>
      <c r="H88" s="158" t="s">
        <v>526</v>
      </c>
      <c r="I88" s="158" t="s">
        <v>453</v>
      </c>
      <c r="J88" s="282" t="s">
        <v>527</v>
      </c>
      <c r="K88" s="158" t="s">
        <v>33</v>
      </c>
      <c r="L88" s="279">
        <v>9934719</v>
      </c>
      <c r="M88" s="158" t="s">
        <v>20</v>
      </c>
    </row>
    <row r="89" spans="2:13" ht="18" hidden="1" x14ac:dyDescent="0.3">
      <c r="B89" s="161">
        <v>43875</v>
      </c>
      <c r="C89" s="157" t="s">
        <v>525</v>
      </c>
      <c r="D89" s="158" t="s">
        <v>31</v>
      </c>
      <c r="E89" s="158" t="s">
        <v>107</v>
      </c>
      <c r="F89" s="161" t="s">
        <v>227</v>
      </c>
      <c r="G89" s="161" t="s">
        <v>116</v>
      </c>
      <c r="H89" s="158" t="s">
        <v>290</v>
      </c>
      <c r="I89" s="158" t="s">
        <v>453</v>
      </c>
      <c r="J89" s="282">
        <v>43879</v>
      </c>
      <c r="K89" s="158" t="s">
        <v>180</v>
      </c>
      <c r="L89" s="279">
        <v>467674</v>
      </c>
      <c r="M89" s="158" t="s">
        <v>20</v>
      </c>
    </row>
    <row r="90" spans="2:13" ht="18" hidden="1" x14ac:dyDescent="0.3">
      <c r="B90" s="161">
        <v>43876</v>
      </c>
      <c r="C90" s="157" t="s">
        <v>533</v>
      </c>
      <c r="D90" s="158" t="s">
        <v>31</v>
      </c>
      <c r="E90" s="158" t="s">
        <v>105</v>
      </c>
      <c r="F90" s="161" t="s">
        <v>106</v>
      </c>
      <c r="G90" s="161" t="s">
        <v>107</v>
      </c>
      <c r="H90" s="158" t="s">
        <v>38</v>
      </c>
      <c r="I90" s="158" t="s">
        <v>97</v>
      </c>
      <c r="J90" s="282">
        <v>43879</v>
      </c>
      <c r="K90" s="158" t="s">
        <v>33</v>
      </c>
      <c r="L90" s="279">
        <v>3674423</v>
      </c>
      <c r="M90" s="158" t="s">
        <v>19</v>
      </c>
    </row>
    <row r="91" spans="2:13" ht="18" hidden="1" x14ac:dyDescent="0.3">
      <c r="B91" s="161">
        <v>43878</v>
      </c>
      <c r="C91" s="157" t="s">
        <v>542</v>
      </c>
      <c r="D91" s="158" t="s">
        <v>31</v>
      </c>
      <c r="E91" s="158" t="s">
        <v>165</v>
      </c>
      <c r="F91" s="161" t="s">
        <v>166</v>
      </c>
      <c r="G91" s="161" t="s">
        <v>167</v>
      </c>
      <c r="H91" s="158" t="s">
        <v>32</v>
      </c>
      <c r="I91" s="158" t="s">
        <v>97</v>
      </c>
      <c r="J91" s="282">
        <v>43879</v>
      </c>
      <c r="K91" s="158" t="s">
        <v>33</v>
      </c>
      <c r="L91" s="279">
        <v>2943000</v>
      </c>
      <c r="M91" s="158" t="s">
        <v>19</v>
      </c>
    </row>
    <row r="92" spans="2:13" ht="18" hidden="1" x14ac:dyDescent="0.3">
      <c r="B92" s="161">
        <v>43879</v>
      </c>
      <c r="C92" s="157" t="s">
        <v>545</v>
      </c>
      <c r="D92" s="158" t="s">
        <v>31</v>
      </c>
      <c r="E92" s="158" t="s">
        <v>445</v>
      </c>
      <c r="F92" s="161" t="s">
        <v>546</v>
      </c>
      <c r="G92" s="161" t="s">
        <v>116</v>
      </c>
      <c r="H92" s="158" t="s">
        <v>37</v>
      </c>
      <c r="I92" s="158" t="s">
        <v>97</v>
      </c>
      <c r="J92" s="282" t="s">
        <v>547</v>
      </c>
      <c r="K92" s="158" t="s">
        <v>39</v>
      </c>
      <c r="L92" s="279">
        <v>5231052</v>
      </c>
      <c r="M92" s="158" t="s">
        <v>19</v>
      </c>
    </row>
    <row r="93" spans="2:13" ht="18" hidden="1" x14ac:dyDescent="0.3">
      <c r="B93" s="161">
        <v>43880</v>
      </c>
      <c r="C93" s="157" t="s">
        <v>154</v>
      </c>
      <c r="D93" s="158" t="s">
        <v>31</v>
      </c>
      <c r="E93" s="158" t="s">
        <v>121</v>
      </c>
      <c r="F93" s="161" t="s">
        <v>155</v>
      </c>
      <c r="G93" s="161" t="s">
        <v>137</v>
      </c>
      <c r="H93" s="158" t="s">
        <v>35</v>
      </c>
      <c r="I93" s="158" t="s">
        <v>97</v>
      </c>
      <c r="J93" s="282" t="s">
        <v>492</v>
      </c>
      <c r="K93" s="158" t="s">
        <v>33</v>
      </c>
      <c r="L93" s="279">
        <v>103194</v>
      </c>
      <c r="M93" s="158" t="s">
        <v>20</v>
      </c>
    </row>
    <row r="94" spans="2:13" ht="18" hidden="1" x14ac:dyDescent="0.3">
      <c r="B94" s="161">
        <v>43880</v>
      </c>
      <c r="C94" s="157" t="s">
        <v>548</v>
      </c>
      <c r="D94" s="158" t="s">
        <v>31</v>
      </c>
      <c r="E94" s="158" t="s">
        <v>433</v>
      </c>
      <c r="F94" s="161" t="s">
        <v>549</v>
      </c>
      <c r="G94" s="161" t="s">
        <v>513</v>
      </c>
      <c r="H94" s="158" t="s">
        <v>38</v>
      </c>
      <c r="I94" s="158" t="s">
        <v>97</v>
      </c>
      <c r="J94" s="282">
        <v>43882</v>
      </c>
      <c r="K94" s="158" t="s">
        <v>39</v>
      </c>
      <c r="L94" s="279">
        <v>2831648</v>
      </c>
      <c r="M94" s="158" t="s">
        <v>20</v>
      </c>
    </row>
    <row r="95" spans="2:13" ht="18" hidden="1" x14ac:dyDescent="0.3">
      <c r="B95" s="161"/>
      <c r="C95" s="157"/>
      <c r="D95" s="158"/>
      <c r="E95" s="158"/>
      <c r="F95" s="161"/>
      <c r="G95" s="161"/>
      <c r="H95" s="158"/>
      <c r="I95" s="158"/>
      <c r="J95" s="282"/>
      <c r="K95" s="158"/>
      <c r="L95" s="279"/>
      <c r="M95" s="158"/>
    </row>
    <row r="96" spans="2:13" ht="18" hidden="1" x14ac:dyDescent="0.3">
      <c r="B96" s="161"/>
      <c r="C96" s="157"/>
      <c r="D96" s="158"/>
      <c r="E96" s="158"/>
      <c r="F96" s="161"/>
      <c r="G96" s="161"/>
      <c r="H96" s="158"/>
      <c r="I96" s="158"/>
      <c r="J96" s="282"/>
      <c r="K96" s="158"/>
      <c r="L96" s="279"/>
      <c r="M96" s="158"/>
    </row>
    <row r="97" spans="2:13" ht="18" hidden="1" x14ac:dyDescent="0.3">
      <c r="B97" s="161">
        <v>43881</v>
      </c>
      <c r="C97" s="157" t="s">
        <v>560</v>
      </c>
      <c r="D97" s="158" t="s">
        <v>31</v>
      </c>
      <c r="E97" s="158" t="s">
        <v>165</v>
      </c>
      <c r="F97" s="161" t="s">
        <v>166</v>
      </c>
      <c r="G97" s="161" t="s">
        <v>116</v>
      </c>
      <c r="H97" s="158" t="s">
        <v>561</v>
      </c>
      <c r="I97" s="158" t="s">
        <v>97</v>
      </c>
      <c r="J97" s="282">
        <v>43882</v>
      </c>
      <c r="K97" s="158" t="s">
        <v>33</v>
      </c>
      <c r="L97" s="279">
        <v>3861183</v>
      </c>
      <c r="M97" s="158" t="s">
        <v>19</v>
      </c>
    </row>
    <row r="98" spans="2:13" ht="18" hidden="1" x14ac:dyDescent="0.3">
      <c r="B98" s="161">
        <v>43881</v>
      </c>
      <c r="C98" s="157" t="s">
        <v>562</v>
      </c>
      <c r="D98" s="158" t="s">
        <v>31</v>
      </c>
      <c r="E98" s="158" t="s">
        <v>165</v>
      </c>
      <c r="F98" s="161" t="s">
        <v>166</v>
      </c>
      <c r="G98" s="161" t="s">
        <v>116</v>
      </c>
      <c r="H98" s="158" t="s">
        <v>561</v>
      </c>
      <c r="I98" s="158" t="s">
        <v>97</v>
      </c>
      <c r="J98" s="282">
        <v>43882</v>
      </c>
      <c r="K98" s="158" t="s">
        <v>33</v>
      </c>
      <c r="L98" s="279">
        <v>3861183</v>
      </c>
      <c r="M98" s="158" t="s">
        <v>19</v>
      </c>
    </row>
    <row r="99" spans="2:13" ht="18" hidden="1" x14ac:dyDescent="0.3">
      <c r="B99" s="161">
        <v>43882</v>
      </c>
      <c r="C99" s="157" t="s">
        <v>565</v>
      </c>
      <c r="D99" s="158" t="s">
        <v>31</v>
      </c>
      <c r="E99" s="158" t="s">
        <v>300</v>
      </c>
      <c r="F99" s="161" t="s">
        <v>522</v>
      </c>
      <c r="G99" s="161" t="s">
        <v>513</v>
      </c>
      <c r="H99" s="158" t="s">
        <v>38</v>
      </c>
      <c r="I99" s="158" t="s">
        <v>97</v>
      </c>
      <c r="J99" s="282">
        <v>43882</v>
      </c>
      <c r="K99" s="158" t="s">
        <v>33</v>
      </c>
      <c r="L99" s="279">
        <v>2703671</v>
      </c>
      <c r="M99" s="158" t="s">
        <v>20</v>
      </c>
    </row>
    <row r="100" spans="2:13" ht="18" hidden="1" x14ac:dyDescent="0.3">
      <c r="B100" s="161">
        <v>43882</v>
      </c>
      <c r="C100" s="157" t="s">
        <v>572</v>
      </c>
      <c r="D100" s="158" t="s">
        <v>31</v>
      </c>
      <c r="E100" s="158" t="s">
        <v>218</v>
      </c>
      <c r="F100" s="161" t="s">
        <v>182</v>
      </c>
      <c r="G100" s="161" t="s">
        <v>116</v>
      </c>
      <c r="H100" s="158" t="s">
        <v>573</v>
      </c>
      <c r="I100" s="158" t="s">
        <v>97</v>
      </c>
      <c r="J100" s="282">
        <v>43891</v>
      </c>
      <c r="K100" s="158" t="s">
        <v>33</v>
      </c>
      <c r="L100" s="279">
        <v>3531067</v>
      </c>
      <c r="M100" s="158" t="s">
        <v>20</v>
      </c>
    </row>
    <row r="101" spans="2:13" ht="18" hidden="1" x14ac:dyDescent="0.3">
      <c r="B101" s="161">
        <v>43882</v>
      </c>
      <c r="C101" s="157" t="s">
        <v>574</v>
      </c>
      <c r="D101" s="158" t="s">
        <v>31</v>
      </c>
      <c r="E101" s="158" t="s">
        <v>218</v>
      </c>
      <c r="F101" s="161" t="s">
        <v>182</v>
      </c>
      <c r="G101" s="161" t="s">
        <v>116</v>
      </c>
      <c r="H101" s="158" t="s">
        <v>519</v>
      </c>
      <c r="I101" s="158" t="s">
        <v>97</v>
      </c>
      <c r="J101" s="282" t="s">
        <v>575</v>
      </c>
      <c r="K101" s="158" t="s">
        <v>33</v>
      </c>
      <c r="L101" s="279">
        <v>7894144</v>
      </c>
      <c r="M101" s="158" t="s">
        <v>20</v>
      </c>
    </row>
    <row r="102" spans="2:13" ht="18" hidden="1" x14ac:dyDescent="0.3">
      <c r="B102" s="161">
        <v>43882</v>
      </c>
      <c r="C102" s="157" t="s">
        <v>576</v>
      </c>
      <c r="D102" s="158" t="s">
        <v>31</v>
      </c>
      <c r="E102" s="158" t="s">
        <v>218</v>
      </c>
      <c r="F102" s="161" t="s">
        <v>182</v>
      </c>
      <c r="G102" s="161" t="s">
        <v>116</v>
      </c>
      <c r="H102" s="158" t="s">
        <v>519</v>
      </c>
      <c r="I102" s="158" t="s">
        <v>97</v>
      </c>
      <c r="J102" s="282" t="s">
        <v>575</v>
      </c>
      <c r="K102" s="158" t="s">
        <v>33</v>
      </c>
      <c r="L102" s="279">
        <v>7894144</v>
      </c>
      <c r="M102" s="158" t="s">
        <v>20</v>
      </c>
    </row>
    <row r="103" spans="2:13" ht="18" hidden="1" x14ac:dyDescent="0.3">
      <c r="B103" s="161">
        <v>43882</v>
      </c>
      <c r="C103" s="157" t="s">
        <v>577</v>
      </c>
      <c r="D103" s="158" t="s">
        <v>31</v>
      </c>
      <c r="E103" s="158" t="s">
        <v>218</v>
      </c>
      <c r="F103" s="161" t="s">
        <v>182</v>
      </c>
      <c r="G103" s="161" t="s">
        <v>116</v>
      </c>
      <c r="H103" s="158" t="s">
        <v>519</v>
      </c>
      <c r="I103" s="158" t="s">
        <v>97</v>
      </c>
      <c r="J103" s="282" t="s">
        <v>575</v>
      </c>
      <c r="K103" s="158" t="s">
        <v>33</v>
      </c>
      <c r="L103" s="279">
        <v>7894144</v>
      </c>
      <c r="M103" s="158" t="s">
        <v>20</v>
      </c>
    </row>
    <row r="104" spans="2:13" ht="18" hidden="1" x14ac:dyDescent="0.3">
      <c r="B104" s="161">
        <v>43883</v>
      </c>
      <c r="C104" s="157" t="s">
        <v>578</v>
      </c>
      <c r="D104" s="158" t="s">
        <v>31</v>
      </c>
      <c r="E104" s="158" t="s">
        <v>105</v>
      </c>
      <c r="F104" s="161" t="s">
        <v>579</v>
      </c>
      <c r="G104" s="161" t="s">
        <v>580</v>
      </c>
      <c r="H104" s="158" t="s">
        <v>35</v>
      </c>
      <c r="I104" s="158" t="s">
        <v>97</v>
      </c>
      <c r="J104" s="282" t="s">
        <v>581</v>
      </c>
      <c r="K104" s="158" t="s">
        <v>33</v>
      </c>
      <c r="L104" s="279">
        <v>5418053</v>
      </c>
      <c r="M104" s="158" t="s">
        <v>19</v>
      </c>
    </row>
    <row r="105" spans="2:13" ht="18" hidden="1" x14ac:dyDescent="0.3">
      <c r="B105" s="161">
        <v>43883</v>
      </c>
      <c r="C105" s="157" t="s">
        <v>521</v>
      </c>
      <c r="D105" s="158" t="s">
        <v>31</v>
      </c>
      <c r="E105" s="158" t="s">
        <v>300</v>
      </c>
      <c r="F105" s="161" t="s">
        <v>522</v>
      </c>
      <c r="G105" s="161" t="s">
        <v>513</v>
      </c>
      <c r="H105" s="158" t="s">
        <v>38</v>
      </c>
      <c r="I105" s="158" t="s">
        <v>97</v>
      </c>
      <c r="J105" s="282">
        <v>43883</v>
      </c>
      <c r="K105" s="158" t="s">
        <v>33</v>
      </c>
      <c r="L105" s="279">
        <v>3787203</v>
      </c>
      <c r="M105" s="158" t="s">
        <v>20</v>
      </c>
    </row>
    <row r="106" spans="2:13" ht="18" hidden="1" x14ac:dyDescent="0.3">
      <c r="B106" s="161">
        <v>43883</v>
      </c>
      <c r="C106" s="157" t="s">
        <v>582</v>
      </c>
      <c r="D106" s="158" t="s">
        <v>31</v>
      </c>
      <c r="E106" s="158" t="s">
        <v>300</v>
      </c>
      <c r="F106" s="161" t="s">
        <v>522</v>
      </c>
      <c r="G106" s="161" t="s">
        <v>513</v>
      </c>
      <c r="H106" s="158" t="s">
        <v>38</v>
      </c>
      <c r="I106" s="158" t="s">
        <v>97</v>
      </c>
      <c r="J106" s="282">
        <v>43883</v>
      </c>
      <c r="K106" s="158" t="s">
        <v>33</v>
      </c>
      <c r="L106" s="279">
        <v>3787203</v>
      </c>
      <c r="M106" s="158" t="s">
        <v>20</v>
      </c>
    </row>
    <row r="107" spans="2:13" ht="18" hidden="1" x14ac:dyDescent="0.3">
      <c r="B107" s="161">
        <v>43884</v>
      </c>
      <c r="C107" s="157" t="s">
        <v>591</v>
      </c>
      <c r="D107" s="158" t="s">
        <v>31</v>
      </c>
      <c r="E107" s="158" t="s">
        <v>121</v>
      </c>
      <c r="F107" s="161" t="s">
        <v>175</v>
      </c>
      <c r="G107" s="161" t="s">
        <v>116</v>
      </c>
      <c r="H107" s="158" t="s">
        <v>592</v>
      </c>
      <c r="I107" s="158" t="s">
        <v>97</v>
      </c>
      <c r="J107" s="282" t="s">
        <v>593</v>
      </c>
      <c r="K107" s="158" t="s">
        <v>39</v>
      </c>
      <c r="L107" s="279">
        <v>9244437</v>
      </c>
      <c r="M107" s="158" t="s">
        <v>20</v>
      </c>
    </row>
    <row r="108" spans="2:13" ht="18" hidden="1" x14ac:dyDescent="0.3">
      <c r="B108" s="161">
        <v>43886</v>
      </c>
      <c r="C108" s="157" t="s">
        <v>603</v>
      </c>
      <c r="D108" s="158" t="s">
        <v>31</v>
      </c>
      <c r="E108" s="158" t="s">
        <v>121</v>
      </c>
      <c r="F108" s="161" t="s">
        <v>126</v>
      </c>
      <c r="G108" s="161" t="s">
        <v>116</v>
      </c>
      <c r="H108" s="158" t="s">
        <v>35</v>
      </c>
      <c r="I108" s="158" t="s">
        <v>97</v>
      </c>
      <c r="J108" s="282" t="s">
        <v>575</v>
      </c>
      <c r="K108" s="158" t="s">
        <v>33</v>
      </c>
      <c r="L108" s="279">
        <v>5561574</v>
      </c>
      <c r="M108" s="158" t="s">
        <v>20</v>
      </c>
    </row>
    <row r="109" spans="2:13" ht="18" hidden="1" x14ac:dyDescent="0.3">
      <c r="B109" s="161">
        <v>43886</v>
      </c>
      <c r="C109" s="157" t="s">
        <v>604</v>
      </c>
      <c r="D109" s="158" t="s">
        <v>31</v>
      </c>
      <c r="E109" s="158" t="s">
        <v>121</v>
      </c>
      <c r="F109" s="161" t="s">
        <v>126</v>
      </c>
      <c r="G109" s="161" t="s">
        <v>116</v>
      </c>
      <c r="H109" s="158" t="s">
        <v>35</v>
      </c>
      <c r="I109" s="158" t="s">
        <v>97</v>
      </c>
      <c r="J109" s="282" t="s">
        <v>575</v>
      </c>
      <c r="K109" s="158" t="s">
        <v>33</v>
      </c>
      <c r="L109" s="279">
        <v>5704469</v>
      </c>
      <c r="M109" s="158" t="s">
        <v>20</v>
      </c>
    </row>
    <row r="110" spans="2:13" ht="18" hidden="1" x14ac:dyDescent="0.3">
      <c r="B110" s="161">
        <v>43886</v>
      </c>
      <c r="C110" s="157" t="s">
        <v>605</v>
      </c>
      <c r="D110" s="158" t="s">
        <v>31</v>
      </c>
      <c r="E110" s="158" t="s">
        <v>121</v>
      </c>
      <c r="F110" s="161" t="s">
        <v>126</v>
      </c>
      <c r="G110" s="161" t="s">
        <v>116</v>
      </c>
      <c r="H110" s="158" t="s">
        <v>35</v>
      </c>
      <c r="I110" s="158" t="s">
        <v>97</v>
      </c>
      <c r="J110" s="282" t="s">
        <v>575</v>
      </c>
      <c r="K110" s="158" t="s">
        <v>33</v>
      </c>
      <c r="L110" s="279">
        <v>5704469</v>
      </c>
      <c r="M110" s="158" t="s">
        <v>20</v>
      </c>
    </row>
    <row r="111" spans="2:13" ht="18" hidden="1" x14ac:dyDescent="0.3">
      <c r="B111" s="161">
        <v>43886</v>
      </c>
      <c r="C111" s="157" t="s">
        <v>606</v>
      </c>
      <c r="D111" s="158" t="s">
        <v>31</v>
      </c>
      <c r="E111" s="158" t="s">
        <v>121</v>
      </c>
      <c r="F111" s="161" t="s">
        <v>607</v>
      </c>
      <c r="G111" s="161" t="s">
        <v>116</v>
      </c>
      <c r="H111" s="158" t="s">
        <v>608</v>
      </c>
      <c r="I111" s="158" t="s">
        <v>97</v>
      </c>
      <c r="J111" s="282">
        <v>43889</v>
      </c>
      <c r="K111" s="158" t="s">
        <v>180</v>
      </c>
      <c r="L111" s="279">
        <v>3600760</v>
      </c>
      <c r="M111" s="158" t="s">
        <v>20</v>
      </c>
    </row>
    <row r="112" spans="2:13" ht="18" hidden="1" x14ac:dyDescent="0.3">
      <c r="B112" s="161">
        <v>43886</v>
      </c>
      <c r="C112" s="157" t="s">
        <v>606</v>
      </c>
      <c r="D112" s="158" t="s">
        <v>31</v>
      </c>
      <c r="E112" s="158" t="s">
        <v>121</v>
      </c>
      <c r="F112" s="161" t="s">
        <v>607</v>
      </c>
      <c r="G112" s="161" t="s">
        <v>116</v>
      </c>
      <c r="H112" s="158" t="s">
        <v>151</v>
      </c>
      <c r="I112" s="158" t="s">
        <v>453</v>
      </c>
      <c r="J112" s="282">
        <v>43887</v>
      </c>
      <c r="K112" s="158" t="s">
        <v>33</v>
      </c>
      <c r="L112" s="279">
        <v>1239832</v>
      </c>
      <c r="M112" s="158" t="s">
        <v>20</v>
      </c>
    </row>
    <row r="113" spans="2:13" ht="18" hidden="1" x14ac:dyDescent="0.3">
      <c r="B113" s="161">
        <v>43886</v>
      </c>
      <c r="C113" s="157" t="s">
        <v>609</v>
      </c>
      <c r="D113" s="158" t="s">
        <v>31</v>
      </c>
      <c r="E113" s="158" t="s">
        <v>121</v>
      </c>
      <c r="F113" s="161" t="s">
        <v>607</v>
      </c>
      <c r="G113" s="161" t="s">
        <v>116</v>
      </c>
      <c r="H113" s="158" t="s">
        <v>192</v>
      </c>
      <c r="I113" s="158" t="s">
        <v>453</v>
      </c>
      <c r="J113" s="282" t="s">
        <v>610</v>
      </c>
      <c r="K113" s="158" t="s">
        <v>33</v>
      </c>
      <c r="L113" s="279">
        <v>3750175</v>
      </c>
      <c r="M113" s="158" t="s">
        <v>20</v>
      </c>
    </row>
    <row r="114" spans="2:13" ht="18" hidden="1" x14ac:dyDescent="0.3">
      <c r="B114" s="161">
        <v>43886</v>
      </c>
      <c r="C114" s="157" t="s">
        <v>611</v>
      </c>
      <c r="D114" s="158" t="s">
        <v>31</v>
      </c>
      <c r="E114" s="158" t="s">
        <v>121</v>
      </c>
      <c r="F114" s="161" t="s">
        <v>607</v>
      </c>
      <c r="G114" s="161" t="s">
        <v>116</v>
      </c>
      <c r="H114" s="158" t="s">
        <v>192</v>
      </c>
      <c r="I114" s="158" t="s">
        <v>453</v>
      </c>
      <c r="J114" s="282" t="s">
        <v>610</v>
      </c>
      <c r="K114" s="158" t="s">
        <v>33</v>
      </c>
      <c r="L114" s="279">
        <v>3750175</v>
      </c>
      <c r="M114" s="158" t="s">
        <v>20</v>
      </c>
    </row>
    <row r="115" spans="2:13" ht="18" hidden="1" x14ac:dyDescent="0.3">
      <c r="B115" s="161">
        <v>43886</v>
      </c>
      <c r="C115" s="157" t="s">
        <v>612</v>
      </c>
      <c r="D115" s="158" t="s">
        <v>31</v>
      </c>
      <c r="E115" s="158" t="s">
        <v>121</v>
      </c>
      <c r="F115" s="161" t="s">
        <v>607</v>
      </c>
      <c r="G115" s="161" t="s">
        <v>116</v>
      </c>
      <c r="H115" s="158" t="s">
        <v>192</v>
      </c>
      <c r="I115" s="158" t="s">
        <v>453</v>
      </c>
      <c r="J115" s="282" t="s">
        <v>610</v>
      </c>
      <c r="K115" s="158" t="s">
        <v>33</v>
      </c>
      <c r="L115" s="279">
        <v>3750175</v>
      </c>
      <c r="M115" s="158" t="s">
        <v>20</v>
      </c>
    </row>
    <row r="116" spans="2:13" ht="18" hidden="1" x14ac:dyDescent="0.3">
      <c r="B116" s="161">
        <v>43888</v>
      </c>
      <c r="C116" s="157" t="s">
        <v>514</v>
      </c>
      <c r="D116" s="158" t="s">
        <v>31</v>
      </c>
      <c r="E116" s="158" t="s">
        <v>452</v>
      </c>
      <c r="F116" s="161" t="s">
        <v>126</v>
      </c>
      <c r="G116" s="161" t="s">
        <v>452</v>
      </c>
      <c r="H116" s="158" t="s">
        <v>632</v>
      </c>
      <c r="I116" s="158" t="s">
        <v>97</v>
      </c>
      <c r="J116" s="282" t="s">
        <v>633</v>
      </c>
      <c r="K116" s="158" t="s">
        <v>39</v>
      </c>
      <c r="L116" s="279">
        <v>5987450</v>
      </c>
      <c r="M116" s="158" t="s">
        <v>20</v>
      </c>
    </row>
    <row r="117" spans="2:13" ht="18" hidden="1" x14ac:dyDescent="0.3">
      <c r="B117" s="161">
        <v>43888</v>
      </c>
      <c r="C117" s="157" t="s">
        <v>634</v>
      </c>
      <c r="D117" s="158" t="s">
        <v>31</v>
      </c>
      <c r="E117" s="158" t="s">
        <v>452</v>
      </c>
      <c r="F117" s="161" t="s">
        <v>126</v>
      </c>
      <c r="G117" s="161" t="s">
        <v>452</v>
      </c>
      <c r="H117" s="158" t="s">
        <v>632</v>
      </c>
      <c r="I117" s="158" t="s">
        <v>97</v>
      </c>
      <c r="J117" s="282" t="s">
        <v>633</v>
      </c>
      <c r="K117" s="158" t="s">
        <v>39</v>
      </c>
      <c r="L117" s="279">
        <v>5003031</v>
      </c>
      <c r="M117" s="158" t="s">
        <v>20</v>
      </c>
    </row>
    <row r="118" spans="2:13" ht="18" hidden="1" x14ac:dyDescent="0.3">
      <c r="B118" s="161">
        <v>43888</v>
      </c>
      <c r="C118" s="157" t="s">
        <v>635</v>
      </c>
      <c r="D118" s="158" t="s">
        <v>31</v>
      </c>
      <c r="E118" s="158" t="s">
        <v>452</v>
      </c>
      <c r="F118" s="161" t="s">
        <v>126</v>
      </c>
      <c r="G118" s="161" t="s">
        <v>452</v>
      </c>
      <c r="H118" s="158" t="s">
        <v>632</v>
      </c>
      <c r="I118" s="158" t="s">
        <v>97</v>
      </c>
      <c r="J118" s="282" t="s">
        <v>633</v>
      </c>
      <c r="K118" s="158" t="s">
        <v>39</v>
      </c>
      <c r="L118" s="279">
        <v>5003031</v>
      </c>
      <c r="M118" s="158" t="s">
        <v>20</v>
      </c>
    </row>
    <row r="119" spans="2:13" ht="18" hidden="1" x14ac:dyDescent="0.3">
      <c r="B119" s="161">
        <v>43889</v>
      </c>
      <c r="C119" s="157" t="s">
        <v>572</v>
      </c>
      <c r="D119" s="158" t="s">
        <v>31</v>
      </c>
      <c r="E119" s="158" t="s">
        <v>218</v>
      </c>
      <c r="F119" s="161" t="s">
        <v>182</v>
      </c>
      <c r="G119" s="161" t="s">
        <v>614</v>
      </c>
      <c r="H119" s="158" t="s">
        <v>573</v>
      </c>
      <c r="I119" s="158" t="s">
        <v>97</v>
      </c>
      <c r="J119" s="282">
        <v>43893</v>
      </c>
      <c r="K119" s="158" t="s">
        <v>39</v>
      </c>
      <c r="L119" s="279">
        <v>621418</v>
      </c>
      <c r="M119" s="158" t="s">
        <v>20</v>
      </c>
    </row>
    <row r="120" spans="2:13" ht="18" hidden="1" x14ac:dyDescent="0.3">
      <c r="B120" s="161">
        <v>43889</v>
      </c>
      <c r="C120" s="157" t="s">
        <v>574</v>
      </c>
      <c r="D120" s="158" t="s">
        <v>31</v>
      </c>
      <c r="E120" s="158" t="s">
        <v>218</v>
      </c>
      <c r="F120" s="161" t="s">
        <v>182</v>
      </c>
      <c r="G120" s="161" t="s">
        <v>614</v>
      </c>
      <c r="H120" s="158" t="s">
        <v>573</v>
      </c>
      <c r="I120" s="158" t="s">
        <v>97</v>
      </c>
      <c r="J120" s="282">
        <v>43893</v>
      </c>
      <c r="K120" s="158" t="s">
        <v>39</v>
      </c>
      <c r="L120" s="279">
        <v>619208</v>
      </c>
      <c r="M120" s="158" t="s">
        <v>20</v>
      </c>
    </row>
    <row r="121" spans="2:13" ht="18" hidden="1" x14ac:dyDescent="0.3">
      <c r="B121" s="161">
        <v>43889</v>
      </c>
      <c r="C121" s="157" t="s">
        <v>576</v>
      </c>
      <c r="D121" s="158" t="s">
        <v>31</v>
      </c>
      <c r="E121" s="158" t="s">
        <v>218</v>
      </c>
      <c r="F121" s="161" t="s">
        <v>182</v>
      </c>
      <c r="G121" s="161" t="s">
        <v>614</v>
      </c>
      <c r="H121" s="158" t="s">
        <v>573</v>
      </c>
      <c r="I121" s="158" t="s">
        <v>97</v>
      </c>
      <c r="J121" s="282">
        <v>43893</v>
      </c>
      <c r="K121" s="158" t="s">
        <v>39</v>
      </c>
      <c r="L121" s="279">
        <v>619208</v>
      </c>
      <c r="M121" s="158" t="s">
        <v>20</v>
      </c>
    </row>
    <row r="122" spans="2:13" ht="18" hidden="1" x14ac:dyDescent="0.3">
      <c r="B122" s="161">
        <v>43889</v>
      </c>
      <c r="C122" s="157" t="s">
        <v>577</v>
      </c>
      <c r="D122" s="158" t="s">
        <v>31</v>
      </c>
      <c r="E122" s="158" t="s">
        <v>218</v>
      </c>
      <c r="F122" s="161" t="s">
        <v>182</v>
      </c>
      <c r="G122" s="161" t="s">
        <v>614</v>
      </c>
      <c r="H122" s="158" t="s">
        <v>573</v>
      </c>
      <c r="I122" s="158" t="s">
        <v>97</v>
      </c>
      <c r="J122" s="282">
        <v>43893</v>
      </c>
      <c r="K122" s="158" t="s">
        <v>39</v>
      </c>
      <c r="L122" s="279">
        <v>619208</v>
      </c>
      <c r="M122" s="158" t="s">
        <v>20</v>
      </c>
    </row>
    <row r="123" spans="2:13" ht="18" hidden="1" x14ac:dyDescent="0.3">
      <c r="B123" s="161">
        <v>43889</v>
      </c>
      <c r="C123" s="157" t="s">
        <v>637</v>
      </c>
      <c r="D123" s="158" t="s">
        <v>31</v>
      </c>
      <c r="E123" s="158" t="s">
        <v>165</v>
      </c>
      <c r="F123" s="161" t="s">
        <v>166</v>
      </c>
      <c r="G123" s="161" t="s">
        <v>116</v>
      </c>
      <c r="H123" s="158" t="s">
        <v>561</v>
      </c>
      <c r="I123" s="158" t="s">
        <v>97</v>
      </c>
      <c r="J123" s="282">
        <v>43892</v>
      </c>
      <c r="K123" s="158" t="s">
        <v>33</v>
      </c>
      <c r="L123" s="279">
        <v>3289640</v>
      </c>
      <c r="M123" s="158" t="s">
        <v>20</v>
      </c>
    </row>
    <row r="124" spans="2:13" ht="18" hidden="1" x14ac:dyDescent="0.3">
      <c r="B124" s="161">
        <v>43889</v>
      </c>
      <c r="C124" s="157" t="s">
        <v>638</v>
      </c>
      <c r="D124" s="158" t="s">
        <v>31</v>
      </c>
      <c r="E124" s="158" t="s">
        <v>121</v>
      </c>
      <c r="F124" s="161" t="s">
        <v>639</v>
      </c>
      <c r="G124" s="161" t="s">
        <v>116</v>
      </c>
      <c r="H124" s="158" t="s">
        <v>151</v>
      </c>
      <c r="I124" s="158" t="s">
        <v>54</v>
      </c>
      <c r="J124" s="282">
        <v>43863</v>
      </c>
      <c r="K124" s="158" t="s">
        <v>33</v>
      </c>
      <c r="L124" s="279">
        <v>5640135</v>
      </c>
      <c r="M124" s="158" t="s">
        <v>20</v>
      </c>
    </row>
    <row r="125" spans="2:13" ht="18" hidden="1" x14ac:dyDescent="0.3">
      <c r="B125" s="161">
        <v>43889</v>
      </c>
      <c r="C125" s="157" t="s">
        <v>638</v>
      </c>
      <c r="D125" s="158" t="s">
        <v>31</v>
      </c>
      <c r="E125" s="158" t="s">
        <v>121</v>
      </c>
      <c r="F125" s="161" t="s">
        <v>639</v>
      </c>
      <c r="G125" s="161" t="s">
        <v>116</v>
      </c>
      <c r="H125" s="158" t="s">
        <v>640</v>
      </c>
      <c r="I125" s="158" t="s">
        <v>54</v>
      </c>
      <c r="J125" s="282">
        <v>43898</v>
      </c>
      <c r="K125" s="158" t="s">
        <v>162</v>
      </c>
      <c r="L125" s="279">
        <v>11409082</v>
      </c>
      <c r="M125" s="158" t="s">
        <v>20</v>
      </c>
    </row>
    <row r="126" spans="2:13" ht="18" hidden="1" x14ac:dyDescent="0.3">
      <c r="B126" s="161">
        <v>43889</v>
      </c>
      <c r="C126" s="157" t="s">
        <v>641</v>
      </c>
      <c r="D126" s="158" t="s">
        <v>31</v>
      </c>
      <c r="E126" s="158" t="s">
        <v>121</v>
      </c>
      <c r="F126" s="161" t="s">
        <v>639</v>
      </c>
      <c r="G126" s="161" t="s">
        <v>116</v>
      </c>
      <c r="H126" s="158" t="s">
        <v>642</v>
      </c>
      <c r="I126" s="158" t="s">
        <v>54</v>
      </c>
      <c r="J126" s="282" t="s">
        <v>643</v>
      </c>
      <c r="K126" s="158" t="s">
        <v>39</v>
      </c>
      <c r="L126" s="279">
        <v>27852721</v>
      </c>
      <c r="M126" s="158" t="s">
        <v>20</v>
      </c>
    </row>
    <row r="127" spans="2:13" ht="18" x14ac:dyDescent="0.3">
      <c r="B127" s="161">
        <v>43870</v>
      </c>
      <c r="C127" s="157" t="s">
        <v>667</v>
      </c>
      <c r="D127" s="158" t="s">
        <v>668</v>
      </c>
      <c r="E127" s="158" t="s">
        <v>340</v>
      </c>
      <c r="F127" s="161" t="s">
        <v>374</v>
      </c>
      <c r="G127" s="161" t="s">
        <v>301</v>
      </c>
      <c r="H127" s="158" t="s">
        <v>669</v>
      </c>
      <c r="I127" s="158" t="s">
        <v>670</v>
      </c>
      <c r="J127" s="282" t="s">
        <v>671</v>
      </c>
      <c r="K127" s="158" t="s">
        <v>33</v>
      </c>
      <c r="L127" s="279">
        <v>4762751</v>
      </c>
      <c r="M127" s="158" t="s">
        <v>19</v>
      </c>
    </row>
    <row r="128" spans="2:13" ht="18" x14ac:dyDescent="0.3">
      <c r="B128" s="161">
        <v>43870</v>
      </c>
      <c r="C128" s="157" t="s">
        <v>672</v>
      </c>
      <c r="D128" s="158" t="s">
        <v>668</v>
      </c>
      <c r="E128" s="158" t="s">
        <v>340</v>
      </c>
      <c r="F128" s="161" t="s">
        <v>374</v>
      </c>
      <c r="G128" s="161" t="s">
        <v>301</v>
      </c>
      <c r="H128" s="158" t="s">
        <v>669</v>
      </c>
      <c r="I128" s="158" t="s">
        <v>670</v>
      </c>
      <c r="J128" s="282" t="s">
        <v>671</v>
      </c>
      <c r="K128" s="158" t="s">
        <v>33</v>
      </c>
      <c r="L128" s="279">
        <v>4762751</v>
      </c>
      <c r="M128" s="158" t="s">
        <v>19</v>
      </c>
    </row>
    <row r="129" spans="2:13" ht="18" x14ac:dyDescent="0.3">
      <c r="B129" s="161">
        <v>43870</v>
      </c>
      <c r="C129" s="157" t="s">
        <v>673</v>
      </c>
      <c r="D129" s="158" t="s">
        <v>668</v>
      </c>
      <c r="E129" s="158" t="s">
        <v>340</v>
      </c>
      <c r="F129" s="161" t="s">
        <v>374</v>
      </c>
      <c r="G129" s="161" t="s">
        <v>301</v>
      </c>
      <c r="H129" s="158" t="s">
        <v>674</v>
      </c>
      <c r="I129" s="158" t="s">
        <v>670</v>
      </c>
      <c r="J129" s="282" t="s">
        <v>671</v>
      </c>
      <c r="K129" s="158" t="s">
        <v>33</v>
      </c>
      <c r="L129" s="279">
        <v>3869050</v>
      </c>
      <c r="M129" s="158" t="s">
        <v>19</v>
      </c>
    </row>
    <row r="130" spans="2:13" ht="18" hidden="1" x14ac:dyDescent="0.3">
      <c r="B130" s="161">
        <v>43873</v>
      </c>
      <c r="C130" s="157" t="s">
        <v>673</v>
      </c>
      <c r="D130" s="158" t="s">
        <v>668</v>
      </c>
      <c r="E130" s="158" t="s">
        <v>340</v>
      </c>
      <c r="F130" s="161" t="s">
        <v>374</v>
      </c>
      <c r="G130" s="161" t="s">
        <v>137</v>
      </c>
      <c r="H130" s="158" t="s">
        <v>674</v>
      </c>
      <c r="I130" s="158" t="s">
        <v>670</v>
      </c>
      <c r="J130" s="282">
        <v>43877</v>
      </c>
      <c r="K130" s="158" t="s">
        <v>33</v>
      </c>
      <c r="L130" s="279">
        <v>668660</v>
      </c>
      <c r="M130" s="158" t="s">
        <v>19</v>
      </c>
    </row>
    <row r="131" spans="2:13" ht="18" x14ac:dyDescent="0.3">
      <c r="B131" s="161">
        <v>43874</v>
      </c>
      <c r="C131" s="157" t="s">
        <v>678</v>
      </c>
      <c r="D131" s="158" t="s">
        <v>668</v>
      </c>
      <c r="E131" s="158" t="s">
        <v>446</v>
      </c>
      <c r="F131" s="161" t="s">
        <v>679</v>
      </c>
      <c r="G131" s="161" t="s">
        <v>680</v>
      </c>
      <c r="H131" s="158" t="s">
        <v>681</v>
      </c>
      <c r="I131" s="158" t="s">
        <v>453</v>
      </c>
      <c r="J131" s="282" t="s">
        <v>682</v>
      </c>
      <c r="K131" s="158" t="s">
        <v>33</v>
      </c>
      <c r="L131" s="279">
        <v>4300744</v>
      </c>
      <c r="M131" s="158" t="s">
        <v>19</v>
      </c>
    </row>
    <row r="132" spans="2:13" ht="18" x14ac:dyDescent="0.3">
      <c r="B132" s="161">
        <v>43874</v>
      </c>
      <c r="C132" s="157" t="s">
        <v>683</v>
      </c>
      <c r="D132" s="158" t="s">
        <v>668</v>
      </c>
      <c r="E132" s="158" t="s">
        <v>434</v>
      </c>
      <c r="F132" s="161" t="s">
        <v>679</v>
      </c>
      <c r="G132" s="161" t="s">
        <v>680</v>
      </c>
      <c r="H132" s="158" t="s">
        <v>681</v>
      </c>
      <c r="I132" s="158" t="s">
        <v>453</v>
      </c>
      <c r="J132" s="282" t="s">
        <v>682</v>
      </c>
      <c r="K132" s="158" t="s">
        <v>33</v>
      </c>
      <c r="L132" s="279">
        <v>4300744</v>
      </c>
      <c r="M132" s="158" t="s">
        <v>19</v>
      </c>
    </row>
    <row r="133" spans="2:13" ht="18" x14ac:dyDescent="0.3">
      <c r="B133" s="161">
        <v>43875</v>
      </c>
      <c r="C133" s="157" t="s">
        <v>691</v>
      </c>
      <c r="D133" s="158" t="s">
        <v>668</v>
      </c>
      <c r="E133" s="158" t="s">
        <v>446</v>
      </c>
      <c r="F133" s="161" t="s">
        <v>679</v>
      </c>
      <c r="G133" s="161" t="s">
        <v>692</v>
      </c>
      <c r="H133" s="158" t="s">
        <v>402</v>
      </c>
      <c r="I133" s="158" t="s">
        <v>97</v>
      </c>
      <c r="J133" s="282" t="s">
        <v>693</v>
      </c>
      <c r="K133" s="158" t="s">
        <v>33</v>
      </c>
      <c r="L133" s="279">
        <v>5918743</v>
      </c>
      <c r="M133" s="158" t="s">
        <v>19</v>
      </c>
    </row>
    <row r="134" spans="2:13" ht="18" x14ac:dyDescent="0.3">
      <c r="B134" s="161">
        <v>43879</v>
      </c>
      <c r="C134" s="157" t="s">
        <v>710</v>
      </c>
      <c r="D134" s="158" t="s">
        <v>668</v>
      </c>
      <c r="E134" s="158" t="s">
        <v>434</v>
      </c>
      <c r="F134" s="161" t="s">
        <v>679</v>
      </c>
      <c r="G134" s="161" t="s">
        <v>301</v>
      </c>
      <c r="H134" s="158" t="s">
        <v>420</v>
      </c>
      <c r="I134" s="158" t="s">
        <v>84</v>
      </c>
      <c r="J134" s="282" t="s">
        <v>711</v>
      </c>
      <c r="K134" s="158" t="s">
        <v>33</v>
      </c>
      <c r="L134" s="279">
        <v>1962913</v>
      </c>
      <c r="M134" s="158" t="s">
        <v>19</v>
      </c>
    </row>
    <row r="135" spans="2:13" ht="18" x14ac:dyDescent="0.3">
      <c r="B135" s="161">
        <v>43879</v>
      </c>
      <c r="C135" s="157" t="s">
        <v>719</v>
      </c>
      <c r="D135" s="158" t="s">
        <v>668</v>
      </c>
      <c r="E135" s="158" t="s">
        <v>434</v>
      </c>
      <c r="F135" s="161" t="s">
        <v>679</v>
      </c>
      <c r="G135" s="161" t="s">
        <v>680</v>
      </c>
      <c r="H135" s="158" t="s">
        <v>402</v>
      </c>
      <c r="I135" s="158" t="s">
        <v>97</v>
      </c>
      <c r="J135" s="282" t="s">
        <v>720</v>
      </c>
      <c r="K135" s="158" t="s">
        <v>33</v>
      </c>
      <c r="L135" s="279">
        <v>4300744</v>
      </c>
      <c r="M135" s="158" t="s">
        <v>19</v>
      </c>
    </row>
    <row r="136" spans="2:13" ht="18" hidden="1" x14ac:dyDescent="0.3">
      <c r="B136" s="160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8"/>
    </row>
    <row r="137" spans="2:13" ht="18" x14ac:dyDescent="0.3">
      <c r="B137" s="161">
        <v>43864</v>
      </c>
      <c r="C137" s="157" t="s">
        <v>136</v>
      </c>
      <c r="D137" s="157" t="s">
        <v>36</v>
      </c>
      <c r="E137" s="157" t="s">
        <v>131</v>
      </c>
      <c r="F137" s="157" t="s">
        <v>132</v>
      </c>
      <c r="G137" s="157" t="s">
        <v>116</v>
      </c>
      <c r="H137" s="157" t="s">
        <v>37</v>
      </c>
      <c r="I137" s="157" t="s">
        <v>97</v>
      </c>
      <c r="J137" s="157" t="s">
        <v>454</v>
      </c>
      <c r="K137" s="157" t="s">
        <v>33</v>
      </c>
      <c r="L137" s="157">
        <v>6451496</v>
      </c>
      <c r="M137" s="158" t="s">
        <v>20</v>
      </c>
    </row>
    <row r="138" spans="2:13" ht="18" x14ac:dyDescent="0.3">
      <c r="B138" s="161">
        <v>43864</v>
      </c>
      <c r="C138" s="157" t="s">
        <v>455</v>
      </c>
      <c r="D138" s="157" t="s">
        <v>36</v>
      </c>
      <c r="E138" s="157" t="s">
        <v>131</v>
      </c>
      <c r="F138" s="157" t="s">
        <v>132</v>
      </c>
      <c r="G138" s="157" t="s">
        <v>116</v>
      </c>
      <c r="H138" s="157" t="s">
        <v>37</v>
      </c>
      <c r="I138" s="157" t="s">
        <v>97</v>
      </c>
      <c r="J138" s="157" t="s">
        <v>454</v>
      </c>
      <c r="K138" s="157" t="s">
        <v>33</v>
      </c>
      <c r="L138" s="157">
        <v>4480205</v>
      </c>
      <c r="M138" s="158" t="s">
        <v>20</v>
      </c>
    </row>
    <row r="139" spans="2:13" ht="18" x14ac:dyDescent="0.3">
      <c r="B139" s="161">
        <v>43864</v>
      </c>
      <c r="C139" s="157" t="s">
        <v>456</v>
      </c>
      <c r="D139" s="158" t="s">
        <v>36</v>
      </c>
      <c r="E139" s="158" t="s">
        <v>131</v>
      </c>
      <c r="F139" s="161" t="s">
        <v>132</v>
      </c>
      <c r="G139" s="161" t="s">
        <v>116</v>
      </c>
      <c r="H139" s="158" t="s">
        <v>37</v>
      </c>
      <c r="I139" s="158" t="s">
        <v>97</v>
      </c>
      <c r="J139" s="282" t="s">
        <v>454</v>
      </c>
      <c r="K139" s="158" t="s">
        <v>33</v>
      </c>
      <c r="L139" s="279">
        <v>790925</v>
      </c>
      <c r="M139" s="158" t="s">
        <v>20</v>
      </c>
    </row>
    <row r="140" spans="2:13" ht="18" hidden="1" x14ac:dyDescent="0.3">
      <c r="B140" s="161">
        <v>43864</v>
      </c>
      <c r="C140" s="157" t="s">
        <v>136</v>
      </c>
      <c r="D140" s="158" t="s">
        <v>36</v>
      </c>
      <c r="E140" s="158" t="s">
        <v>131</v>
      </c>
      <c r="F140" s="161" t="s">
        <v>132</v>
      </c>
      <c r="G140" s="161" t="s">
        <v>457</v>
      </c>
      <c r="H140" s="158" t="s">
        <v>37</v>
      </c>
      <c r="I140" s="158" t="s">
        <v>97</v>
      </c>
      <c r="J140" s="282" t="s">
        <v>454</v>
      </c>
      <c r="K140" s="158" t="s">
        <v>33</v>
      </c>
      <c r="L140" s="279">
        <v>231917</v>
      </c>
      <c r="M140" s="158" t="s">
        <v>20</v>
      </c>
    </row>
    <row r="141" spans="2:13" ht="18" x14ac:dyDescent="0.3">
      <c r="B141" s="161">
        <v>43864</v>
      </c>
      <c r="C141" s="157" t="s">
        <v>458</v>
      </c>
      <c r="D141" s="158" t="s">
        <v>36</v>
      </c>
      <c r="E141" s="158" t="s">
        <v>121</v>
      </c>
      <c r="F141" s="161" t="s">
        <v>459</v>
      </c>
      <c r="G141" s="161" t="s">
        <v>286</v>
      </c>
      <c r="H141" s="158" t="s">
        <v>460</v>
      </c>
      <c r="I141" s="158" t="s">
        <v>670</v>
      </c>
      <c r="J141" s="282" t="s">
        <v>462</v>
      </c>
      <c r="K141" s="158" t="s">
        <v>33</v>
      </c>
      <c r="L141" s="279">
        <v>4953320</v>
      </c>
      <c r="M141" s="158" t="s">
        <v>20</v>
      </c>
    </row>
    <row r="142" spans="2:13" ht="18" hidden="1" x14ac:dyDescent="0.3">
      <c r="B142" s="161">
        <v>43864</v>
      </c>
      <c r="C142" s="157" t="s">
        <v>463</v>
      </c>
      <c r="D142" s="158" t="s">
        <v>36</v>
      </c>
      <c r="E142" s="158" t="s">
        <v>107</v>
      </c>
      <c r="F142" s="161" t="s">
        <v>227</v>
      </c>
      <c r="G142" s="161" t="s">
        <v>137</v>
      </c>
      <c r="H142" s="158" t="s">
        <v>37</v>
      </c>
      <c r="I142" s="158" t="s">
        <v>240</v>
      </c>
      <c r="J142" s="282">
        <v>43870</v>
      </c>
      <c r="K142" s="158" t="s">
        <v>464</v>
      </c>
      <c r="L142" s="279">
        <v>105417</v>
      </c>
      <c r="M142" s="158" t="s">
        <v>20</v>
      </c>
    </row>
    <row r="143" spans="2:13" ht="18" hidden="1" x14ac:dyDescent="0.3">
      <c r="B143" s="161">
        <v>43864</v>
      </c>
      <c r="C143" s="157" t="s">
        <v>463</v>
      </c>
      <c r="D143" s="158" t="s">
        <v>36</v>
      </c>
      <c r="E143" s="158" t="s">
        <v>107</v>
      </c>
      <c r="F143" s="161" t="s">
        <v>227</v>
      </c>
      <c r="G143" s="161" t="s">
        <v>137</v>
      </c>
      <c r="H143" s="158" t="s">
        <v>239</v>
      </c>
      <c r="I143" s="158" t="s">
        <v>240</v>
      </c>
      <c r="J143" s="282">
        <v>43870</v>
      </c>
      <c r="K143" s="158" t="s">
        <v>465</v>
      </c>
      <c r="L143" s="279">
        <v>6505535</v>
      </c>
      <c r="M143" s="158" t="s">
        <v>20</v>
      </c>
    </row>
    <row r="144" spans="2:13" ht="18" hidden="1" x14ac:dyDescent="0.3">
      <c r="B144" s="161">
        <v>43864</v>
      </c>
      <c r="C144" s="157" t="s">
        <v>242</v>
      </c>
      <c r="D144" s="158" t="s">
        <v>36</v>
      </c>
      <c r="E144" s="158" t="s">
        <v>107</v>
      </c>
      <c r="F144" s="161" t="s">
        <v>227</v>
      </c>
      <c r="G144" s="161" t="s">
        <v>457</v>
      </c>
      <c r="H144" s="158" t="s">
        <v>243</v>
      </c>
      <c r="I144" s="158" t="s">
        <v>240</v>
      </c>
      <c r="J144" s="282">
        <v>43870</v>
      </c>
      <c r="K144" s="158" t="s">
        <v>33</v>
      </c>
      <c r="L144" s="279">
        <v>16466945</v>
      </c>
      <c r="M144" s="158" t="s">
        <v>20</v>
      </c>
    </row>
    <row r="145" spans="2:13" ht="18" x14ac:dyDescent="0.3">
      <c r="B145" s="161">
        <v>43866</v>
      </c>
      <c r="C145" s="157" t="s">
        <v>472</v>
      </c>
      <c r="D145" s="158" t="s">
        <v>36</v>
      </c>
      <c r="E145" s="158" t="s">
        <v>121</v>
      </c>
      <c r="F145" s="161" t="s">
        <v>459</v>
      </c>
      <c r="G145" s="161" t="s">
        <v>286</v>
      </c>
      <c r="H145" s="158" t="s">
        <v>287</v>
      </c>
      <c r="I145" s="158" t="s">
        <v>670</v>
      </c>
      <c r="J145" s="282" t="s">
        <v>473</v>
      </c>
      <c r="K145" s="158" t="s">
        <v>33</v>
      </c>
      <c r="L145" s="279">
        <v>5713093</v>
      </c>
      <c r="M145" s="158" t="s">
        <v>20</v>
      </c>
    </row>
    <row r="146" spans="2:13" ht="18" x14ac:dyDescent="0.3">
      <c r="B146" s="161">
        <v>43866</v>
      </c>
      <c r="C146" s="157" t="s">
        <v>474</v>
      </c>
      <c r="D146" s="158" t="s">
        <v>36</v>
      </c>
      <c r="E146" s="158" t="s">
        <v>300</v>
      </c>
      <c r="F146" s="161" t="s">
        <v>459</v>
      </c>
      <c r="G146" s="161" t="s">
        <v>286</v>
      </c>
      <c r="H146" s="158" t="s">
        <v>475</v>
      </c>
      <c r="I146" s="158" t="s">
        <v>670</v>
      </c>
      <c r="J146" s="282">
        <v>43870</v>
      </c>
      <c r="K146" s="158" t="s">
        <v>33</v>
      </c>
      <c r="L146" s="279">
        <v>3474201</v>
      </c>
      <c r="M146" s="158" t="s">
        <v>20</v>
      </c>
    </row>
    <row r="147" spans="2:13" ht="18" x14ac:dyDescent="0.3">
      <c r="B147" s="161">
        <v>43871</v>
      </c>
      <c r="C147" s="157" t="s">
        <v>487</v>
      </c>
      <c r="D147" s="158" t="s">
        <v>36</v>
      </c>
      <c r="E147" s="158" t="s">
        <v>121</v>
      </c>
      <c r="F147" s="161" t="s">
        <v>182</v>
      </c>
      <c r="G147" s="161" t="s">
        <v>116</v>
      </c>
      <c r="H147" s="158" t="s">
        <v>488</v>
      </c>
      <c r="I147" s="158" t="s">
        <v>489</v>
      </c>
      <c r="J147" s="282">
        <v>43872</v>
      </c>
      <c r="K147" s="158" t="s">
        <v>33</v>
      </c>
      <c r="L147" s="279">
        <v>254032</v>
      </c>
      <c r="M147" s="158" t="s">
        <v>20</v>
      </c>
    </row>
    <row r="148" spans="2:13" ht="18" x14ac:dyDescent="0.3">
      <c r="B148" s="161">
        <v>43871</v>
      </c>
      <c r="C148" s="157" t="s">
        <v>490</v>
      </c>
      <c r="D148" s="158" t="s">
        <v>36</v>
      </c>
      <c r="E148" s="158" t="s">
        <v>131</v>
      </c>
      <c r="F148" s="161" t="s">
        <v>132</v>
      </c>
      <c r="G148" s="161" t="s">
        <v>116</v>
      </c>
      <c r="H148" s="158" t="s">
        <v>491</v>
      </c>
      <c r="I148" s="158" t="s">
        <v>489</v>
      </c>
      <c r="J148" s="282" t="s">
        <v>492</v>
      </c>
      <c r="K148" s="158" t="s">
        <v>33</v>
      </c>
      <c r="L148" s="279">
        <v>254032</v>
      </c>
      <c r="M148" s="158" t="s">
        <v>20</v>
      </c>
    </row>
    <row r="149" spans="2:13" ht="18" x14ac:dyDescent="0.3">
      <c r="B149" s="161">
        <v>43871</v>
      </c>
      <c r="C149" s="157" t="s">
        <v>493</v>
      </c>
      <c r="D149" s="158" t="s">
        <v>36</v>
      </c>
      <c r="E149" s="158" t="s">
        <v>131</v>
      </c>
      <c r="F149" s="161" t="s">
        <v>132</v>
      </c>
      <c r="G149" s="161" t="s">
        <v>116</v>
      </c>
      <c r="H149" s="158" t="s">
        <v>494</v>
      </c>
      <c r="I149" s="158" t="s">
        <v>489</v>
      </c>
      <c r="J149" s="282" t="s">
        <v>492</v>
      </c>
      <c r="K149" s="158" t="s">
        <v>33</v>
      </c>
      <c r="L149" s="279">
        <v>518648</v>
      </c>
      <c r="M149" s="158" t="s">
        <v>20</v>
      </c>
    </row>
    <row r="150" spans="2:13" ht="18" x14ac:dyDescent="0.3">
      <c r="B150" s="161">
        <v>43871</v>
      </c>
      <c r="C150" s="157" t="s">
        <v>495</v>
      </c>
      <c r="D150" s="158" t="s">
        <v>36</v>
      </c>
      <c r="E150" s="158" t="s">
        <v>131</v>
      </c>
      <c r="F150" s="161" t="s">
        <v>132</v>
      </c>
      <c r="G150" s="161" t="s">
        <v>116</v>
      </c>
      <c r="H150" s="158" t="s">
        <v>494</v>
      </c>
      <c r="I150" s="158" t="s">
        <v>489</v>
      </c>
      <c r="J150" s="282" t="s">
        <v>492</v>
      </c>
      <c r="K150" s="158" t="s">
        <v>33</v>
      </c>
      <c r="L150" s="279">
        <v>529234</v>
      </c>
      <c r="M150" s="158" t="s">
        <v>20</v>
      </c>
    </row>
    <row r="151" spans="2:13" ht="18" x14ac:dyDescent="0.3">
      <c r="B151" s="161">
        <v>43871</v>
      </c>
      <c r="C151" s="157" t="s">
        <v>455</v>
      </c>
      <c r="D151" s="158" t="s">
        <v>36</v>
      </c>
      <c r="E151" s="158" t="s">
        <v>131</v>
      </c>
      <c r="F151" s="161" t="s">
        <v>132</v>
      </c>
      <c r="G151" s="161" t="s">
        <v>116</v>
      </c>
      <c r="H151" s="158" t="s">
        <v>494</v>
      </c>
      <c r="I151" s="158" t="s">
        <v>489</v>
      </c>
      <c r="J151" s="282" t="s">
        <v>492</v>
      </c>
      <c r="K151" s="158" t="s">
        <v>33</v>
      </c>
      <c r="L151" s="279">
        <v>518648</v>
      </c>
      <c r="M151" s="158" t="s">
        <v>20</v>
      </c>
    </row>
    <row r="152" spans="2:13" ht="18" x14ac:dyDescent="0.3">
      <c r="B152" s="161">
        <v>43872</v>
      </c>
      <c r="C152" s="157" t="s">
        <v>113</v>
      </c>
      <c r="D152" s="158" t="s">
        <v>36</v>
      </c>
      <c r="E152" s="158" t="s">
        <v>114</v>
      </c>
      <c r="F152" s="161" t="s">
        <v>115</v>
      </c>
      <c r="G152" s="161" t="s">
        <v>116</v>
      </c>
      <c r="H152" s="158" t="s">
        <v>37</v>
      </c>
      <c r="I152" s="158" t="s">
        <v>97</v>
      </c>
      <c r="J152" s="282" t="s">
        <v>512</v>
      </c>
      <c r="K152" s="158" t="s">
        <v>33</v>
      </c>
      <c r="L152" s="279">
        <v>5451096</v>
      </c>
      <c r="M152" s="158" t="s">
        <v>20</v>
      </c>
    </row>
    <row r="153" spans="2:13" ht="18" x14ac:dyDescent="0.3">
      <c r="B153" s="161">
        <v>43872</v>
      </c>
      <c r="C153" s="157" t="s">
        <v>119</v>
      </c>
      <c r="D153" s="158" t="s">
        <v>36</v>
      </c>
      <c r="E153" s="158" t="s">
        <v>114</v>
      </c>
      <c r="F153" s="161" t="s">
        <v>115</v>
      </c>
      <c r="G153" s="161" t="s">
        <v>116</v>
      </c>
      <c r="H153" s="158" t="s">
        <v>117</v>
      </c>
      <c r="I153" s="158" t="s">
        <v>97</v>
      </c>
      <c r="J153" s="282" t="s">
        <v>512</v>
      </c>
      <c r="K153" s="158" t="s">
        <v>33</v>
      </c>
      <c r="L153" s="279">
        <v>5451096</v>
      </c>
      <c r="M153" s="158" t="s">
        <v>20</v>
      </c>
    </row>
    <row r="154" spans="2:13" ht="18" hidden="1" x14ac:dyDescent="0.3">
      <c r="B154" s="161"/>
      <c r="C154" s="157"/>
      <c r="D154" s="158"/>
      <c r="E154" s="158"/>
      <c r="F154" s="161"/>
      <c r="G154" s="161"/>
      <c r="H154" s="158"/>
      <c r="I154" s="158"/>
      <c r="J154" s="282"/>
      <c r="K154" s="158"/>
      <c r="L154" s="279"/>
      <c r="M154" s="158"/>
    </row>
    <row r="155" spans="2:13" ht="18" hidden="1" x14ac:dyDescent="0.3">
      <c r="B155" s="161"/>
      <c r="C155" s="157"/>
      <c r="D155" s="158"/>
      <c r="E155" s="158"/>
      <c r="F155" s="161"/>
      <c r="G155" s="161"/>
      <c r="H155" s="158"/>
      <c r="I155" s="158"/>
      <c r="J155" s="282"/>
      <c r="K155" s="158"/>
      <c r="L155" s="279"/>
      <c r="M155" s="158"/>
    </row>
    <row r="156" spans="2:13" ht="18" x14ac:dyDescent="0.3">
      <c r="B156" s="161">
        <v>43875</v>
      </c>
      <c r="C156" s="157" t="s">
        <v>518</v>
      </c>
      <c r="D156" s="158" t="s">
        <v>36</v>
      </c>
      <c r="E156" s="158" t="s">
        <v>218</v>
      </c>
      <c r="F156" s="161" t="s">
        <v>182</v>
      </c>
      <c r="G156" s="161" t="s">
        <v>116</v>
      </c>
      <c r="H156" s="158" t="s">
        <v>519</v>
      </c>
      <c r="I156" s="158" t="s">
        <v>97</v>
      </c>
      <c r="J156" s="282" t="s">
        <v>520</v>
      </c>
      <c r="K156" s="158" t="s">
        <v>33</v>
      </c>
      <c r="L156" s="279">
        <v>7514329</v>
      </c>
      <c r="M156" s="158" t="s">
        <v>20</v>
      </c>
    </row>
    <row r="157" spans="2:13" ht="18" x14ac:dyDescent="0.3">
      <c r="B157" s="161">
        <v>43875</v>
      </c>
      <c r="C157" s="157" t="s">
        <v>521</v>
      </c>
      <c r="D157" s="158" t="s">
        <v>36</v>
      </c>
      <c r="E157" s="158" t="s">
        <v>300</v>
      </c>
      <c r="F157" s="161" t="s">
        <v>522</v>
      </c>
      <c r="G157" s="161" t="s">
        <v>116</v>
      </c>
      <c r="H157" s="158" t="s">
        <v>32</v>
      </c>
      <c r="I157" s="158" t="s">
        <v>97</v>
      </c>
      <c r="J157" s="282">
        <v>43878</v>
      </c>
      <c r="K157" s="158" t="s">
        <v>33</v>
      </c>
      <c r="L157" s="279">
        <v>3301240</v>
      </c>
      <c r="M157" s="158" t="s">
        <v>20</v>
      </c>
    </row>
    <row r="158" spans="2:13" ht="18" x14ac:dyDescent="0.3">
      <c r="B158" s="161">
        <v>43875</v>
      </c>
      <c r="C158" s="157" t="s">
        <v>523</v>
      </c>
      <c r="D158" s="158" t="s">
        <v>36</v>
      </c>
      <c r="E158" s="158" t="s">
        <v>300</v>
      </c>
      <c r="F158" s="161" t="s">
        <v>522</v>
      </c>
      <c r="G158" s="161" t="s">
        <v>116</v>
      </c>
      <c r="H158" s="158" t="s">
        <v>32</v>
      </c>
      <c r="I158" s="158" t="s">
        <v>97</v>
      </c>
      <c r="J158" s="282">
        <v>43878</v>
      </c>
      <c r="K158" s="158" t="s">
        <v>33</v>
      </c>
      <c r="L158" s="279">
        <v>3301240</v>
      </c>
      <c r="M158" s="158" t="s">
        <v>20</v>
      </c>
    </row>
    <row r="159" spans="2:13" ht="18" x14ac:dyDescent="0.3">
      <c r="B159" s="161">
        <v>43875</v>
      </c>
      <c r="C159" s="157" t="s">
        <v>524</v>
      </c>
      <c r="D159" s="158" t="s">
        <v>36</v>
      </c>
      <c r="E159" s="158" t="s">
        <v>300</v>
      </c>
      <c r="F159" s="161" t="s">
        <v>522</v>
      </c>
      <c r="G159" s="161" t="s">
        <v>116</v>
      </c>
      <c r="H159" s="158" t="s">
        <v>32</v>
      </c>
      <c r="I159" s="158" t="s">
        <v>97</v>
      </c>
      <c r="J159" s="282">
        <v>43878</v>
      </c>
      <c r="K159" s="158" t="s">
        <v>33</v>
      </c>
      <c r="L159" s="279">
        <v>3301240</v>
      </c>
      <c r="M159" s="158" t="s">
        <v>20</v>
      </c>
    </row>
    <row r="160" spans="2:13" ht="18" x14ac:dyDescent="0.3">
      <c r="B160" s="161">
        <v>43876</v>
      </c>
      <c r="C160" s="157" t="s">
        <v>528</v>
      </c>
      <c r="D160" s="158" t="s">
        <v>36</v>
      </c>
      <c r="E160" s="158" t="s">
        <v>440</v>
      </c>
      <c r="F160" s="161" t="s">
        <v>529</v>
      </c>
      <c r="G160" s="161" t="s">
        <v>116</v>
      </c>
      <c r="H160" s="158" t="s">
        <v>530</v>
      </c>
      <c r="I160" s="158" t="s">
        <v>229</v>
      </c>
      <c r="J160" s="282" t="s">
        <v>531</v>
      </c>
      <c r="K160" s="158" t="s">
        <v>180</v>
      </c>
      <c r="L160" s="279">
        <v>7928336</v>
      </c>
      <c r="M160" s="158" t="s">
        <v>20</v>
      </c>
    </row>
    <row r="161" spans="2:13" ht="18" x14ac:dyDescent="0.3">
      <c r="B161" s="161">
        <v>43876</v>
      </c>
      <c r="C161" s="157" t="s">
        <v>532</v>
      </c>
      <c r="D161" s="158" t="s">
        <v>36</v>
      </c>
      <c r="E161" s="158" t="s">
        <v>440</v>
      </c>
      <c r="F161" s="161" t="s">
        <v>529</v>
      </c>
      <c r="G161" s="161" t="s">
        <v>116</v>
      </c>
      <c r="H161" s="158" t="s">
        <v>530</v>
      </c>
      <c r="I161" s="158" t="s">
        <v>229</v>
      </c>
      <c r="J161" s="282" t="s">
        <v>531</v>
      </c>
      <c r="K161" s="158" t="s">
        <v>180</v>
      </c>
      <c r="L161" s="279">
        <v>7928336</v>
      </c>
      <c r="M161" s="158" t="s">
        <v>20</v>
      </c>
    </row>
    <row r="162" spans="2:13" ht="18" x14ac:dyDescent="0.3">
      <c r="B162" s="161">
        <v>43878</v>
      </c>
      <c r="C162" s="157" t="s">
        <v>534</v>
      </c>
      <c r="D162" s="158" t="s">
        <v>36</v>
      </c>
      <c r="E162" s="158" t="s">
        <v>432</v>
      </c>
      <c r="F162" s="161" t="s">
        <v>535</v>
      </c>
      <c r="G162" s="161" t="s">
        <v>116</v>
      </c>
      <c r="H162" s="158" t="s">
        <v>536</v>
      </c>
      <c r="I162" s="158" t="s">
        <v>537</v>
      </c>
      <c r="J162" s="282">
        <v>43884</v>
      </c>
      <c r="K162" s="158" t="s">
        <v>538</v>
      </c>
      <c r="L162" s="279">
        <v>2731018</v>
      </c>
      <c r="M162" s="158" t="s">
        <v>20</v>
      </c>
    </row>
    <row r="163" spans="2:13" ht="18" x14ac:dyDescent="0.3">
      <c r="B163" s="161">
        <v>43878</v>
      </c>
      <c r="C163" s="157" t="s">
        <v>539</v>
      </c>
      <c r="D163" s="158" t="s">
        <v>36</v>
      </c>
      <c r="E163" s="158" t="s">
        <v>432</v>
      </c>
      <c r="F163" s="161" t="s">
        <v>535</v>
      </c>
      <c r="G163" s="161" t="s">
        <v>116</v>
      </c>
      <c r="H163" s="158" t="s">
        <v>536</v>
      </c>
      <c r="I163" s="158" t="s">
        <v>537</v>
      </c>
      <c r="J163" s="282">
        <v>43884</v>
      </c>
      <c r="K163" s="158" t="s">
        <v>538</v>
      </c>
      <c r="L163" s="279">
        <v>2731018</v>
      </c>
      <c r="M163" s="158" t="s">
        <v>20</v>
      </c>
    </row>
    <row r="164" spans="2:13" ht="18" x14ac:dyDescent="0.3">
      <c r="B164" s="161">
        <v>43878</v>
      </c>
      <c r="C164" s="157" t="s">
        <v>540</v>
      </c>
      <c r="D164" s="158" t="s">
        <v>36</v>
      </c>
      <c r="E164" s="158" t="s">
        <v>432</v>
      </c>
      <c r="F164" s="161" t="s">
        <v>535</v>
      </c>
      <c r="G164" s="161" t="s">
        <v>116</v>
      </c>
      <c r="H164" s="158" t="s">
        <v>536</v>
      </c>
      <c r="I164" s="158" t="s">
        <v>537</v>
      </c>
      <c r="J164" s="282">
        <v>43884</v>
      </c>
      <c r="K164" s="158" t="s">
        <v>538</v>
      </c>
      <c r="L164" s="279">
        <v>2731018</v>
      </c>
      <c r="M164" s="158" t="s">
        <v>20</v>
      </c>
    </row>
    <row r="165" spans="2:13" ht="18" x14ac:dyDescent="0.3">
      <c r="B165" s="161">
        <v>43878</v>
      </c>
      <c r="C165" s="157" t="s">
        <v>534</v>
      </c>
      <c r="D165" s="158" t="s">
        <v>36</v>
      </c>
      <c r="E165" s="158" t="s">
        <v>432</v>
      </c>
      <c r="F165" s="161" t="s">
        <v>535</v>
      </c>
      <c r="G165" s="161" t="s">
        <v>116</v>
      </c>
      <c r="H165" s="158" t="s">
        <v>541</v>
      </c>
      <c r="I165" s="158" t="s">
        <v>537</v>
      </c>
      <c r="J165" s="282">
        <v>43881</v>
      </c>
      <c r="K165" s="158" t="s">
        <v>33</v>
      </c>
      <c r="L165" s="279">
        <v>3183569</v>
      </c>
      <c r="M165" s="158" t="s">
        <v>20</v>
      </c>
    </row>
    <row r="166" spans="2:13" ht="18" x14ac:dyDescent="0.3">
      <c r="B166" s="161">
        <v>43878</v>
      </c>
      <c r="C166" s="157" t="s">
        <v>539</v>
      </c>
      <c r="D166" s="158" t="s">
        <v>36</v>
      </c>
      <c r="E166" s="158" t="s">
        <v>432</v>
      </c>
      <c r="F166" s="161" t="s">
        <v>535</v>
      </c>
      <c r="G166" s="161" t="s">
        <v>116</v>
      </c>
      <c r="H166" s="158" t="s">
        <v>541</v>
      </c>
      <c r="I166" s="158" t="s">
        <v>537</v>
      </c>
      <c r="J166" s="282">
        <v>43881</v>
      </c>
      <c r="K166" s="158" t="s">
        <v>33</v>
      </c>
      <c r="L166" s="279">
        <v>3183569</v>
      </c>
      <c r="M166" s="158" t="s">
        <v>20</v>
      </c>
    </row>
    <row r="167" spans="2:13" ht="18" x14ac:dyDescent="0.3">
      <c r="B167" s="161">
        <v>43878</v>
      </c>
      <c r="C167" s="157" t="s">
        <v>540</v>
      </c>
      <c r="D167" s="158" t="s">
        <v>36</v>
      </c>
      <c r="E167" s="158" t="s">
        <v>432</v>
      </c>
      <c r="F167" s="161" t="s">
        <v>535</v>
      </c>
      <c r="G167" s="161" t="s">
        <v>116</v>
      </c>
      <c r="H167" s="158" t="s">
        <v>541</v>
      </c>
      <c r="I167" s="158" t="s">
        <v>537</v>
      </c>
      <c r="J167" s="282">
        <v>43881</v>
      </c>
      <c r="K167" s="158" t="s">
        <v>33</v>
      </c>
      <c r="L167" s="279">
        <v>3183569</v>
      </c>
      <c r="M167" s="158" t="s">
        <v>20</v>
      </c>
    </row>
    <row r="168" spans="2:13" ht="18" x14ac:dyDescent="0.3">
      <c r="B168" s="161">
        <v>43879</v>
      </c>
      <c r="C168" s="157" t="s">
        <v>543</v>
      </c>
      <c r="D168" s="158" t="s">
        <v>36</v>
      </c>
      <c r="E168" s="158" t="s">
        <v>158</v>
      </c>
      <c r="F168" s="161" t="s">
        <v>126</v>
      </c>
      <c r="G168" s="161" t="s">
        <v>116</v>
      </c>
      <c r="H168" s="158" t="s">
        <v>37</v>
      </c>
      <c r="I168" s="158" t="s">
        <v>97</v>
      </c>
      <c r="J168" s="282" t="s">
        <v>544</v>
      </c>
      <c r="K168" s="158" t="s">
        <v>33</v>
      </c>
      <c r="L168" s="279">
        <v>9937642</v>
      </c>
      <c r="M168" s="158" t="s">
        <v>20</v>
      </c>
    </row>
    <row r="169" spans="2:13" ht="18" x14ac:dyDescent="0.3">
      <c r="B169" s="161">
        <v>43880</v>
      </c>
      <c r="C169" s="157" t="s">
        <v>543</v>
      </c>
      <c r="D169" s="158" t="s">
        <v>36</v>
      </c>
      <c r="E169" s="158" t="s">
        <v>158</v>
      </c>
      <c r="F169" s="161" t="s">
        <v>126</v>
      </c>
      <c r="G169" s="161" t="s">
        <v>116</v>
      </c>
      <c r="H169" s="158" t="s">
        <v>503</v>
      </c>
      <c r="I169" s="158" t="s">
        <v>97</v>
      </c>
      <c r="J169" s="282">
        <v>43880</v>
      </c>
      <c r="K169" s="158" t="s">
        <v>33</v>
      </c>
      <c r="L169" s="279">
        <v>1377418</v>
      </c>
      <c r="M169" s="158" t="s">
        <v>20</v>
      </c>
    </row>
    <row r="170" spans="2:13" ht="18" hidden="1" x14ac:dyDescent="0.3">
      <c r="B170" s="161">
        <v>43880</v>
      </c>
      <c r="C170" s="157" t="s">
        <v>113</v>
      </c>
      <c r="D170" s="158" t="s">
        <v>36</v>
      </c>
      <c r="E170" s="158" t="s">
        <v>114</v>
      </c>
      <c r="F170" s="161" t="s">
        <v>115</v>
      </c>
      <c r="G170" s="161" t="s">
        <v>137</v>
      </c>
      <c r="H170" s="158" t="s">
        <v>32</v>
      </c>
      <c r="I170" s="158" t="s">
        <v>97</v>
      </c>
      <c r="J170" s="282">
        <v>43883</v>
      </c>
      <c r="K170" s="158" t="s">
        <v>39</v>
      </c>
      <c r="L170" s="279">
        <v>1885011</v>
      </c>
      <c r="M170" s="158" t="s">
        <v>20</v>
      </c>
    </row>
    <row r="171" spans="2:13" ht="18" hidden="1" x14ac:dyDescent="0.3">
      <c r="B171" s="161">
        <v>43880</v>
      </c>
      <c r="C171" s="157" t="s">
        <v>119</v>
      </c>
      <c r="D171" s="158" t="s">
        <v>36</v>
      </c>
      <c r="E171" s="158" t="s">
        <v>114</v>
      </c>
      <c r="F171" s="161" t="s">
        <v>115</v>
      </c>
      <c r="G171" s="161" t="s">
        <v>137</v>
      </c>
      <c r="H171" s="158" t="s">
        <v>32</v>
      </c>
      <c r="I171" s="158" t="s">
        <v>97</v>
      </c>
      <c r="J171" s="282">
        <v>43883</v>
      </c>
      <c r="K171" s="158" t="s">
        <v>39</v>
      </c>
      <c r="L171" s="279">
        <v>1885011</v>
      </c>
      <c r="M171" s="158" t="s">
        <v>20</v>
      </c>
    </row>
    <row r="172" spans="2:13" ht="18" x14ac:dyDescent="0.3">
      <c r="B172" s="161">
        <v>43881</v>
      </c>
      <c r="C172" s="157" t="s">
        <v>550</v>
      </c>
      <c r="D172" s="158" t="s">
        <v>36</v>
      </c>
      <c r="E172" s="158" t="s">
        <v>432</v>
      </c>
      <c r="F172" s="161" t="s">
        <v>535</v>
      </c>
      <c r="G172" s="161" t="s">
        <v>116</v>
      </c>
      <c r="H172" s="158" t="s">
        <v>551</v>
      </c>
      <c r="I172" s="158" t="s">
        <v>453</v>
      </c>
      <c r="J172" s="282" t="s">
        <v>552</v>
      </c>
      <c r="K172" s="158" t="s">
        <v>180</v>
      </c>
      <c r="L172" s="279">
        <v>4365651</v>
      </c>
      <c r="M172" s="158" t="s">
        <v>20</v>
      </c>
    </row>
    <row r="173" spans="2:13" ht="18" x14ac:dyDescent="0.3">
      <c r="B173" s="161">
        <v>43881</v>
      </c>
      <c r="C173" s="157" t="s">
        <v>553</v>
      </c>
      <c r="D173" s="158" t="s">
        <v>36</v>
      </c>
      <c r="E173" s="158" t="s">
        <v>432</v>
      </c>
      <c r="F173" s="161" t="s">
        <v>535</v>
      </c>
      <c r="G173" s="161" t="s">
        <v>116</v>
      </c>
      <c r="H173" s="158" t="s">
        <v>551</v>
      </c>
      <c r="I173" s="158" t="s">
        <v>453</v>
      </c>
      <c r="J173" s="282" t="s">
        <v>552</v>
      </c>
      <c r="K173" s="158" t="s">
        <v>180</v>
      </c>
      <c r="L173" s="279">
        <v>4365651</v>
      </c>
      <c r="M173" s="158" t="s">
        <v>20</v>
      </c>
    </row>
    <row r="174" spans="2:13" ht="18" hidden="1" x14ac:dyDescent="0.3">
      <c r="B174" s="161">
        <v>43881</v>
      </c>
      <c r="C174" s="157" t="s">
        <v>550</v>
      </c>
      <c r="D174" s="158" t="s">
        <v>36</v>
      </c>
      <c r="E174" s="158" t="s">
        <v>432</v>
      </c>
      <c r="F174" s="161" t="s">
        <v>535</v>
      </c>
      <c r="G174" s="161" t="s">
        <v>554</v>
      </c>
      <c r="H174" s="158" t="s">
        <v>555</v>
      </c>
      <c r="I174" s="158" t="s">
        <v>453</v>
      </c>
      <c r="J174" s="282">
        <v>43889</v>
      </c>
      <c r="K174" s="158" t="s">
        <v>180</v>
      </c>
      <c r="L174" s="279">
        <v>780910</v>
      </c>
      <c r="M174" s="158" t="s">
        <v>20</v>
      </c>
    </row>
    <row r="175" spans="2:13" ht="18" hidden="1" x14ac:dyDescent="0.3">
      <c r="B175" s="161">
        <v>43881</v>
      </c>
      <c r="C175" s="157" t="s">
        <v>553</v>
      </c>
      <c r="D175" s="158" t="s">
        <v>36</v>
      </c>
      <c r="E175" s="158" t="s">
        <v>432</v>
      </c>
      <c r="F175" s="161" t="s">
        <v>535</v>
      </c>
      <c r="G175" s="161" t="s">
        <v>554</v>
      </c>
      <c r="H175" s="158" t="s">
        <v>555</v>
      </c>
      <c r="I175" s="158" t="s">
        <v>453</v>
      </c>
      <c r="J175" s="282">
        <v>43889</v>
      </c>
      <c r="K175" s="158" t="s">
        <v>180</v>
      </c>
      <c r="L175" s="279">
        <v>780910</v>
      </c>
      <c r="M175" s="158" t="s">
        <v>20</v>
      </c>
    </row>
    <row r="176" spans="2:13" ht="18" x14ac:dyDescent="0.3">
      <c r="B176" s="161">
        <v>43881</v>
      </c>
      <c r="C176" s="157" t="s">
        <v>550</v>
      </c>
      <c r="D176" s="158" t="s">
        <v>36</v>
      </c>
      <c r="E176" s="158" t="s">
        <v>432</v>
      </c>
      <c r="F176" s="161" t="s">
        <v>535</v>
      </c>
      <c r="G176" s="161" t="s">
        <v>116</v>
      </c>
      <c r="H176" s="158" t="s">
        <v>556</v>
      </c>
      <c r="I176" s="158" t="s">
        <v>453</v>
      </c>
      <c r="J176" s="282">
        <v>43887</v>
      </c>
      <c r="K176" s="158" t="s">
        <v>180</v>
      </c>
      <c r="L176" s="279">
        <v>880024</v>
      </c>
      <c r="M176" s="158" t="s">
        <v>20</v>
      </c>
    </row>
    <row r="177" spans="2:13" ht="18" x14ac:dyDescent="0.3">
      <c r="B177" s="161">
        <v>43881</v>
      </c>
      <c r="C177" s="157" t="s">
        <v>553</v>
      </c>
      <c r="D177" s="158" t="s">
        <v>36</v>
      </c>
      <c r="E177" s="158" t="s">
        <v>432</v>
      </c>
      <c r="F177" s="161" t="s">
        <v>535</v>
      </c>
      <c r="G177" s="161" t="s">
        <v>116</v>
      </c>
      <c r="H177" s="158" t="s">
        <v>556</v>
      </c>
      <c r="I177" s="158" t="s">
        <v>453</v>
      </c>
      <c r="J177" s="282">
        <v>43887</v>
      </c>
      <c r="K177" s="158" t="s">
        <v>180</v>
      </c>
      <c r="L177" s="279">
        <v>880024</v>
      </c>
      <c r="M177" s="158" t="s">
        <v>20</v>
      </c>
    </row>
    <row r="178" spans="2:13" ht="18" x14ac:dyDescent="0.3">
      <c r="B178" s="161">
        <v>43881</v>
      </c>
      <c r="C178" s="157" t="s">
        <v>557</v>
      </c>
      <c r="D178" s="158" t="s">
        <v>36</v>
      </c>
      <c r="E178" s="158" t="s">
        <v>432</v>
      </c>
      <c r="F178" s="161" t="s">
        <v>535</v>
      </c>
      <c r="G178" s="161" t="s">
        <v>116</v>
      </c>
      <c r="H178" s="158" t="s">
        <v>151</v>
      </c>
      <c r="I178" s="158" t="s">
        <v>453</v>
      </c>
      <c r="J178" s="282">
        <v>43890</v>
      </c>
      <c r="K178" s="158" t="s">
        <v>33</v>
      </c>
      <c r="L178" s="279">
        <v>1341826</v>
      </c>
      <c r="M178" s="158" t="s">
        <v>20</v>
      </c>
    </row>
    <row r="179" spans="2:13" ht="18" x14ac:dyDescent="0.3">
      <c r="B179" s="161">
        <v>43881</v>
      </c>
      <c r="C179" s="157" t="s">
        <v>550</v>
      </c>
      <c r="D179" s="158" t="s">
        <v>36</v>
      </c>
      <c r="E179" s="158" t="s">
        <v>432</v>
      </c>
      <c r="F179" s="161" t="s">
        <v>535</v>
      </c>
      <c r="G179" s="161" t="s">
        <v>116</v>
      </c>
      <c r="H179" s="158" t="s">
        <v>151</v>
      </c>
      <c r="I179" s="158" t="s">
        <v>453</v>
      </c>
      <c r="J179" s="282">
        <v>43890</v>
      </c>
      <c r="K179" s="158" t="s">
        <v>33</v>
      </c>
      <c r="L179" s="279">
        <v>1341826</v>
      </c>
      <c r="M179" s="158" t="s">
        <v>20</v>
      </c>
    </row>
    <row r="180" spans="2:13" ht="18" x14ac:dyDescent="0.3">
      <c r="B180" s="161">
        <v>43881</v>
      </c>
      <c r="C180" s="157" t="s">
        <v>558</v>
      </c>
      <c r="D180" s="158" t="s">
        <v>36</v>
      </c>
      <c r="E180" s="158" t="s">
        <v>432</v>
      </c>
      <c r="F180" s="161" t="s">
        <v>535</v>
      </c>
      <c r="G180" s="161" t="s">
        <v>116</v>
      </c>
      <c r="H180" s="158" t="s">
        <v>559</v>
      </c>
      <c r="I180" s="158" t="s">
        <v>453</v>
      </c>
      <c r="J180" s="282">
        <v>43887</v>
      </c>
      <c r="K180" s="158" t="s">
        <v>180</v>
      </c>
      <c r="L180" s="279">
        <v>4694001</v>
      </c>
      <c r="M180" s="158" t="s">
        <v>20</v>
      </c>
    </row>
    <row r="181" spans="2:13" ht="18" hidden="1" x14ac:dyDescent="0.3">
      <c r="B181" s="161">
        <v>43881</v>
      </c>
      <c r="C181" s="157" t="s">
        <v>543</v>
      </c>
      <c r="D181" s="158" t="s">
        <v>36</v>
      </c>
      <c r="E181" s="158" t="s">
        <v>158</v>
      </c>
      <c r="F181" s="161" t="s">
        <v>126</v>
      </c>
      <c r="G181" s="161" t="s">
        <v>137</v>
      </c>
      <c r="H181" s="158" t="s">
        <v>561</v>
      </c>
      <c r="I181" s="158" t="s">
        <v>97</v>
      </c>
      <c r="J181" s="282">
        <v>43882</v>
      </c>
      <c r="K181" s="158" t="s">
        <v>33</v>
      </c>
      <c r="L181" s="279">
        <v>103145</v>
      </c>
      <c r="M181" s="158" t="s">
        <v>20</v>
      </c>
    </row>
    <row r="182" spans="2:13" ht="18" x14ac:dyDescent="0.3">
      <c r="B182" s="161">
        <v>43881</v>
      </c>
      <c r="C182" s="157" t="s">
        <v>543</v>
      </c>
      <c r="D182" s="158" t="s">
        <v>36</v>
      </c>
      <c r="E182" s="158" t="s">
        <v>158</v>
      </c>
      <c r="F182" s="161" t="s">
        <v>126</v>
      </c>
      <c r="G182" s="161" t="s">
        <v>116</v>
      </c>
      <c r="H182" s="158" t="s">
        <v>563</v>
      </c>
      <c r="I182" s="158" t="s">
        <v>97</v>
      </c>
      <c r="J182" s="282">
        <v>43882</v>
      </c>
      <c r="K182" s="158" t="s">
        <v>33</v>
      </c>
      <c r="L182" s="279">
        <v>1568000</v>
      </c>
      <c r="M182" s="158" t="s">
        <v>20</v>
      </c>
    </row>
    <row r="183" spans="2:13" ht="18" x14ac:dyDescent="0.3">
      <c r="B183" s="161">
        <v>43881</v>
      </c>
      <c r="C183" s="157" t="s">
        <v>564</v>
      </c>
      <c r="D183" s="158" t="s">
        <v>36</v>
      </c>
      <c r="E183" s="158" t="s">
        <v>432</v>
      </c>
      <c r="F183" s="161" t="s">
        <v>535</v>
      </c>
      <c r="G183" s="161" t="s">
        <v>116</v>
      </c>
      <c r="H183" s="158" t="s">
        <v>556</v>
      </c>
      <c r="I183" s="158" t="s">
        <v>453</v>
      </c>
      <c r="J183" s="282">
        <v>43887</v>
      </c>
      <c r="K183" s="158" t="s">
        <v>180</v>
      </c>
      <c r="L183" s="279">
        <v>877133</v>
      </c>
      <c r="M183" s="158" t="s">
        <v>20</v>
      </c>
    </row>
    <row r="184" spans="2:13" ht="18" x14ac:dyDescent="0.3">
      <c r="B184" s="161">
        <v>43882</v>
      </c>
      <c r="C184" s="157" t="s">
        <v>566</v>
      </c>
      <c r="D184" s="158" t="s">
        <v>36</v>
      </c>
      <c r="E184" s="158" t="s">
        <v>121</v>
      </c>
      <c r="F184" s="161" t="s">
        <v>426</v>
      </c>
      <c r="G184" s="161" t="s">
        <v>116</v>
      </c>
      <c r="H184" s="158" t="s">
        <v>567</v>
      </c>
      <c r="I184" s="158" t="s">
        <v>568</v>
      </c>
      <c r="J184" s="282" t="s">
        <v>569</v>
      </c>
      <c r="K184" s="158" t="s">
        <v>570</v>
      </c>
      <c r="L184" s="279">
        <v>20566042</v>
      </c>
      <c r="M184" s="158" t="s">
        <v>20</v>
      </c>
    </row>
    <row r="185" spans="2:13" ht="18" x14ac:dyDescent="0.3">
      <c r="B185" s="161">
        <v>43882</v>
      </c>
      <c r="C185" s="157" t="s">
        <v>571</v>
      </c>
      <c r="D185" s="158" t="s">
        <v>36</v>
      </c>
      <c r="E185" s="158" t="s">
        <v>121</v>
      </c>
      <c r="F185" s="161" t="s">
        <v>426</v>
      </c>
      <c r="G185" s="161" t="s">
        <v>116</v>
      </c>
      <c r="H185" s="158" t="s">
        <v>567</v>
      </c>
      <c r="I185" s="158" t="s">
        <v>568</v>
      </c>
      <c r="J185" s="282" t="s">
        <v>569</v>
      </c>
      <c r="K185" s="158" t="s">
        <v>570</v>
      </c>
      <c r="L185" s="279">
        <v>21862309</v>
      </c>
      <c r="M185" s="158" t="s">
        <v>20</v>
      </c>
    </row>
    <row r="186" spans="2:13" ht="18" x14ac:dyDescent="0.3">
      <c r="B186" s="161">
        <v>43883</v>
      </c>
      <c r="C186" s="157" t="s">
        <v>583</v>
      </c>
      <c r="D186" s="158" t="s">
        <v>36</v>
      </c>
      <c r="E186" s="158" t="s">
        <v>121</v>
      </c>
      <c r="F186" s="161" t="s">
        <v>126</v>
      </c>
      <c r="G186" s="161" t="s">
        <v>584</v>
      </c>
      <c r="H186" s="158" t="s">
        <v>585</v>
      </c>
      <c r="I186" s="158" t="s">
        <v>489</v>
      </c>
      <c r="J186" s="282">
        <v>43885</v>
      </c>
      <c r="K186" s="158" t="s">
        <v>33</v>
      </c>
      <c r="L186" s="279">
        <v>340539</v>
      </c>
      <c r="M186" s="158" t="s">
        <v>20</v>
      </c>
    </row>
    <row r="187" spans="2:13" ht="18" x14ac:dyDescent="0.3">
      <c r="B187" s="161">
        <v>43883</v>
      </c>
      <c r="C187" s="157" t="s">
        <v>586</v>
      </c>
      <c r="D187" s="158" t="s">
        <v>36</v>
      </c>
      <c r="E187" s="158" t="s">
        <v>121</v>
      </c>
      <c r="F187" s="161" t="s">
        <v>126</v>
      </c>
      <c r="G187" s="161" t="s">
        <v>584</v>
      </c>
      <c r="H187" s="158" t="s">
        <v>585</v>
      </c>
      <c r="I187" s="158" t="s">
        <v>489</v>
      </c>
      <c r="J187" s="282">
        <v>43885</v>
      </c>
      <c r="K187" s="158" t="s">
        <v>33</v>
      </c>
      <c r="L187" s="279">
        <v>340539</v>
      </c>
      <c r="M187" s="158" t="s">
        <v>20</v>
      </c>
    </row>
    <row r="188" spans="2:13" ht="18" x14ac:dyDescent="0.3">
      <c r="B188" s="161">
        <v>43883</v>
      </c>
      <c r="C188" s="157" t="s">
        <v>587</v>
      </c>
      <c r="D188" s="158" t="s">
        <v>36</v>
      </c>
      <c r="E188" s="158" t="s">
        <v>121</v>
      </c>
      <c r="F188" s="161" t="s">
        <v>126</v>
      </c>
      <c r="G188" s="161" t="s">
        <v>584</v>
      </c>
      <c r="H188" s="158" t="s">
        <v>585</v>
      </c>
      <c r="I188" s="158" t="s">
        <v>489</v>
      </c>
      <c r="J188" s="282">
        <v>43885</v>
      </c>
      <c r="K188" s="158" t="s">
        <v>33</v>
      </c>
      <c r="L188" s="279">
        <v>340539</v>
      </c>
      <c r="M188" s="158" t="s">
        <v>20</v>
      </c>
    </row>
    <row r="189" spans="2:13" ht="18" hidden="1" x14ac:dyDescent="0.3">
      <c r="B189" s="161">
        <v>43883</v>
      </c>
      <c r="C189" s="157" t="s">
        <v>588</v>
      </c>
      <c r="D189" s="158" t="s">
        <v>36</v>
      </c>
      <c r="E189" s="158" t="s">
        <v>121</v>
      </c>
      <c r="F189" s="161" t="s">
        <v>126</v>
      </c>
      <c r="G189" s="161" t="s">
        <v>554</v>
      </c>
      <c r="H189" s="158" t="s">
        <v>585</v>
      </c>
      <c r="I189" s="158" t="s">
        <v>489</v>
      </c>
      <c r="J189" s="282">
        <v>43885</v>
      </c>
      <c r="K189" s="158" t="s">
        <v>33</v>
      </c>
      <c r="L189" s="279">
        <v>72235</v>
      </c>
      <c r="M189" s="158" t="s">
        <v>20</v>
      </c>
    </row>
    <row r="190" spans="2:13" ht="18" x14ac:dyDescent="0.3">
      <c r="B190" s="161">
        <v>43883</v>
      </c>
      <c r="C190" s="157" t="s">
        <v>583</v>
      </c>
      <c r="D190" s="158" t="s">
        <v>36</v>
      </c>
      <c r="E190" s="158" t="s">
        <v>121</v>
      </c>
      <c r="F190" s="161" t="s">
        <v>126</v>
      </c>
      <c r="G190" s="161" t="s">
        <v>584</v>
      </c>
      <c r="H190" s="158" t="s">
        <v>589</v>
      </c>
      <c r="I190" s="158" t="s">
        <v>489</v>
      </c>
      <c r="J190" s="282">
        <v>43885</v>
      </c>
      <c r="K190" s="158" t="s">
        <v>247</v>
      </c>
      <c r="L190" s="279">
        <v>189000</v>
      </c>
      <c r="M190" s="158" t="s">
        <v>20</v>
      </c>
    </row>
    <row r="191" spans="2:13" ht="18" x14ac:dyDescent="0.3">
      <c r="B191" s="161">
        <v>43883</v>
      </c>
      <c r="C191" s="157" t="s">
        <v>586</v>
      </c>
      <c r="D191" s="158" t="s">
        <v>36</v>
      </c>
      <c r="E191" s="158" t="s">
        <v>121</v>
      </c>
      <c r="F191" s="161" t="s">
        <v>126</v>
      </c>
      <c r="G191" s="161" t="s">
        <v>584</v>
      </c>
      <c r="H191" s="158" t="s">
        <v>589</v>
      </c>
      <c r="I191" s="158" t="s">
        <v>489</v>
      </c>
      <c r="J191" s="282">
        <v>43885</v>
      </c>
      <c r="K191" s="158" t="s">
        <v>247</v>
      </c>
      <c r="L191" s="279">
        <v>189000</v>
      </c>
      <c r="M191" s="158" t="s">
        <v>20</v>
      </c>
    </row>
    <row r="192" spans="2:13" ht="18" x14ac:dyDescent="0.3">
      <c r="B192" s="161">
        <v>43883</v>
      </c>
      <c r="C192" s="157" t="s">
        <v>587</v>
      </c>
      <c r="D192" s="158" t="s">
        <v>36</v>
      </c>
      <c r="E192" s="158" t="s">
        <v>121</v>
      </c>
      <c r="F192" s="161" t="s">
        <v>126</v>
      </c>
      <c r="G192" s="161" t="s">
        <v>584</v>
      </c>
      <c r="H192" s="158" t="s">
        <v>589</v>
      </c>
      <c r="I192" s="158" t="s">
        <v>489</v>
      </c>
      <c r="J192" s="282">
        <v>43885</v>
      </c>
      <c r="K192" s="158" t="s">
        <v>247</v>
      </c>
      <c r="L192" s="279">
        <v>189000</v>
      </c>
      <c r="M192" s="158" t="s">
        <v>20</v>
      </c>
    </row>
    <row r="193" spans="2:13" ht="18" x14ac:dyDescent="0.3">
      <c r="B193" s="161">
        <v>43883</v>
      </c>
      <c r="C193" s="157" t="s">
        <v>588</v>
      </c>
      <c r="D193" s="158" t="s">
        <v>36</v>
      </c>
      <c r="E193" s="158" t="s">
        <v>121</v>
      </c>
      <c r="F193" s="161" t="s">
        <v>126</v>
      </c>
      <c r="G193" s="161" t="s">
        <v>584</v>
      </c>
      <c r="H193" s="158" t="s">
        <v>589</v>
      </c>
      <c r="I193" s="158" t="s">
        <v>489</v>
      </c>
      <c r="J193" s="282">
        <v>43885</v>
      </c>
      <c r="K193" s="158" t="s">
        <v>247</v>
      </c>
      <c r="L193" s="279">
        <v>189000</v>
      </c>
      <c r="M193" s="158" t="s">
        <v>20</v>
      </c>
    </row>
    <row r="194" spans="2:13" ht="18" x14ac:dyDescent="0.3">
      <c r="B194" s="161">
        <v>43883</v>
      </c>
      <c r="C194" s="157" t="s">
        <v>590</v>
      </c>
      <c r="D194" s="158" t="s">
        <v>36</v>
      </c>
      <c r="E194" s="158" t="s">
        <v>121</v>
      </c>
      <c r="F194" s="161" t="s">
        <v>126</v>
      </c>
      <c r="G194" s="161" t="s">
        <v>584</v>
      </c>
      <c r="H194" s="158" t="s">
        <v>589</v>
      </c>
      <c r="I194" s="158" t="s">
        <v>489</v>
      </c>
      <c r="J194" s="282">
        <v>43885</v>
      </c>
      <c r="K194" s="158" t="s">
        <v>33</v>
      </c>
      <c r="L194" s="279">
        <v>340539</v>
      </c>
      <c r="M194" s="158" t="s">
        <v>20</v>
      </c>
    </row>
    <row r="195" spans="2:13" ht="18" x14ac:dyDescent="0.3">
      <c r="B195" s="161">
        <v>43884</v>
      </c>
      <c r="C195" s="157" t="s">
        <v>594</v>
      </c>
      <c r="D195" s="158" t="s">
        <v>36</v>
      </c>
      <c r="E195" s="158" t="s">
        <v>121</v>
      </c>
      <c r="F195" s="161" t="s">
        <v>126</v>
      </c>
      <c r="G195" s="161" t="s">
        <v>116</v>
      </c>
      <c r="H195" s="158" t="s">
        <v>595</v>
      </c>
      <c r="I195" s="158" t="s">
        <v>596</v>
      </c>
      <c r="J195" s="282">
        <v>43886</v>
      </c>
      <c r="K195" s="158" t="s">
        <v>39</v>
      </c>
      <c r="L195" s="279">
        <v>4994359</v>
      </c>
      <c r="M195" s="158" t="s">
        <v>20</v>
      </c>
    </row>
    <row r="196" spans="2:13" ht="18" x14ac:dyDescent="0.3">
      <c r="B196" s="161">
        <v>43884</v>
      </c>
      <c r="C196" s="157" t="s">
        <v>594</v>
      </c>
      <c r="D196" s="158" t="s">
        <v>36</v>
      </c>
      <c r="E196" s="158" t="s">
        <v>121</v>
      </c>
      <c r="F196" s="161" t="s">
        <v>126</v>
      </c>
      <c r="G196" s="161" t="s">
        <v>116</v>
      </c>
      <c r="H196" s="158" t="s">
        <v>597</v>
      </c>
      <c r="I196" s="158" t="s">
        <v>596</v>
      </c>
      <c r="J196" s="282">
        <v>43885</v>
      </c>
      <c r="K196" s="158" t="s">
        <v>33</v>
      </c>
      <c r="L196" s="279">
        <v>9968493</v>
      </c>
      <c r="M196" s="158" t="s">
        <v>20</v>
      </c>
    </row>
    <row r="197" spans="2:13" ht="18" x14ac:dyDescent="0.3">
      <c r="B197" s="161">
        <v>43884</v>
      </c>
      <c r="C197" s="157" t="s">
        <v>598</v>
      </c>
      <c r="D197" s="158" t="s">
        <v>36</v>
      </c>
      <c r="E197" s="158" t="s">
        <v>121</v>
      </c>
      <c r="F197" s="161" t="s">
        <v>126</v>
      </c>
      <c r="G197" s="161" t="s">
        <v>116</v>
      </c>
      <c r="H197" s="158" t="s">
        <v>595</v>
      </c>
      <c r="I197" s="158" t="s">
        <v>596</v>
      </c>
      <c r="J197" s="282">
        <v>43886</v>
      </c>
      <c r="K197" s="158" t="s">
        <v>39</v>
      </c>
      <c r="L197" s="279">
        <v>4994359</v>
      </c>
      <c r="M197" s="158" t="s">
        <v>20</v>
      </c>
    </row>
    <row r="198" spans="2:13" ht="18" x14ac:dyDescent="0.3">
      <c r="B198" s="161">
        <v>43884</v>
      </c>
      <c r="C198" s="157" t="s">
        <v>598</v>
      </c>
      <c r="D198" s="158" t="s">
        <v>36</v>
      </c>
      <c r="E198" s="158" t="s">
        <v>121</v>
      </c>
      <c r="F198" s="161" t="s">
        <v>126</v>
      </c>
      <c r="G198" s="161" t="s">
        <v>116</v>
      </c>
      <c r="H198" s="158" t="s">
        <v>597</v>
      </c>
      <c r="I198" s="158" t="s">
        <v>596</v>
      </c>
      <c r="J198" s="282">
        <v>43885</v>
      </c>
      <c r="K198" s="158" t="s">
        <v>33</v>
      </c>
      <c r="L198" s="279">
        <v>9968493</v>
      </c>
      <c r="M198" s="158" t="s">
        <v>20</v>
      </c>
    </row>
    <row r="199" spans="2:13" ht="18" x14ac:dyDescent="0.3">
      <c r="B199" s="161">
        <v>43885</v>
      </c>
      <c r="C199" s="157" t="s">
        <v>599</v>
      </c>
      <c r="D199" s="158" t="s">
        <v>36</v>
      </c>
      <c r="E199" s="158" t="s">
        <v>432</v>
      </c>
      <c r="F199" s="161" t="s">
        <v>535</v>
      </c>
      <c r="G199" s="161" t="s">
        <v>116</v>
      </c>
      <c r="H199" s="158" t="s">
        <v>600</v>
      </c>
      <c r="I199" s="158" t="s">
        <v>453</v>
      </c>
      <c r="J199" s="282" t="s">
        <v>601</v>
      </c>
      <c r="K199" s="158" t="s">
        <v>180</v>
      </c>
      <c r="L199" s="279">
        <v>7578720</v>
      </c>
      <c r="M199" s="158" t="s">
        <v>20</v>
      </c>
    </row>
    <row r="200" spans="2:13" ht="18" x14ac:dyDescent="0.3">
      <c r="B200" s="161">
        <v>43885</v>
      </c>
      <c r="C200" s="157" t="s">
        <v>602</v>
      </c>
      <c r="D200" s="158" t="s">
        <v>36</v>
      </c>
      <c r="E200" s="158" t="s">
        <v>432</v>
      </c>
      <c r="F200" s="161" t="s">
        <v>535</v>
      </c>
      <c r="G200" s="161" t="s">
        <v>116</v>
      </c>
      <c r="H200" s="158" t="s">
        <v>600</v>
      </c>
      <c r="I200" s="158" t="s">
        <v>453</v>
      </c>
      <c r="J200" s="282" t="s">
        <v>601</v>
      </c>
      <c r="K200" s="158" t="s">
        <v>180</v>
      </c>
      <c r="L200" s="279">
        <v>7578720</v>
      </c>
      <c r="M200" s="158" t="s">
        <v>20</v>
      </c>
    </row>
    <row r="201" spans="2:13" ht="18" x14ac:dyDescent="0.3">
      <c r="B201" s="161">
        <v>43885</v>
      </c>
      <c r="C201" s="157" t="s">
        <v>540</v>
      </c>
      <c r="D201" s="158" t="s">
        <v>36</v>
      </c>
      <c r="E201" s="158" t="s">
        <v>432</v>
      </c>
      <c r="F201" s="161" t="s">
        <v>535</v>
      </c>
      <c r="G201" s="161" t="s">
        <v>116</v>
      </c>
      <c r="H201" s="158" t="s">
        <v>600</v>
      </c>
      <c r="I201" s="158" t="s">
        <v>97</v>
      </c>
      <c r="J201" s="282" t="s">
        <v>601</v>
      </c>
      <c r="K201" s="158" t="s">
        <v>180</v>
      </c>
      <c r="L201" s="279">
        <v>7578720</v>
      </c>
      <c r="M201" s="158" t="s">
        <v>20</v>
      </c>
    </row>
    <row r="202" spans="2:13" ht="18" hidden="1" x14ac:dyDescent="0.3">
      <c r="B202" s="161">
        <v>43886</v>
      </c>
      <c r="C202" s="157" t="s">
        <v>613</v>
      </c>
      <c r="D202" s="158" t="s">
        <v>36</v>
      </c>
      <c r="E202" s="158" t="s">
        <v>121</v>
      </c>
      <c r="F202" s="161" t="s">
        <v>126</v>
      </c>
      <c r="G202" s="161" t="s">
        <v>614</v>
      </c>
      <c r="H202" s="158" t="s">
        <v>595</v>
      </c>
      <c r="I202" s="158" t="s">
        <v>596</v>
      </c>
      <c r="J202" s="282">
        <v>43887</v>
      </c>
      <c r="K202" s="158" t="s">
        <v>39</v>
      </c>
      <c r="L202" s="279">
        <v>619208</v>
      </c>
      <c r="M202" s="158" t="s">
        <v>20</v>
      </c>
    </row>
    <row r="203" spans="2:13" ht="18" hidden="1" x14ac:dyDescent="0.3">
      <c r="B203" s="161">
        <v>43886</v>
      </c>
      <c r="C203" s="157" t="s">
        <v>615</v>
      </c>
      <c r="D203" s="158" t="s">
        <v>36</v>
      </c>
      <c r="E203" s="158" t="s">
        <v>121</v>
      </c>
      <c r="F203" s="161" t="s">
        <v>126</v>
      </c>
      <c r="G203" s="161" t="s">
        <v>614</v>
      </c>
      <c r="H203" s="158" t="s">
        <v>595</v>
      </c>
      <c r="I203" s="158" t="s">
        <v>596</v>
      </c>
      <c r="J203" s="282">
        <v>43887</v>
      </c>
      <c r="K203" s="158" t="s">
        <v>39</v>
      </c>
      <c r="L203" s="279">
        <v>619208</v>
      </c>
      <c r="M203" s="158" t="s">
        <v>20</v>
      </c>
    </row>
    <row r="204" spans="2:13" ht="18" x14ac:dyDescent="0.3">
      <c r="B204" s="161">
        <v>43886</v>
      </c>
      <c r="C204" s="157" t="s">
        <v>616</v>
      </c>
      <c r="D204" s="158" t="s">
        <v>36</v>
      </c>
      <c r="E204" s="158" t="s">
        <v>218</v>
      </c>
      <c r="F204" s="161" t="s">
        <v>182</v>
      </c>
      <c r="G204" s="161" t="s">
        <v>617</v>
      </c>
      <c r="H204" s="158" t="s">
        <v>618</v>
      </c>
      <c r="I204" s="158" t="s">
        <v>619</v>
      </c>
      <c r="J204" s="282" t="s">
        <v>620</v>
      </c>
      <c r="K204" s="158" t="s">
        <v>33</v>
      </c>
      <c r="L204" s="279">
        <v>3718567</v>
      </c>
      <c r="M204" s="158" t="s">
        <v>20</v>
      </c>
    </row>
    <row r="205" spans="2:13" ht="18" x14ac:dyDescent="0.3">
      <c r="B205" s="161">
        <v>43886</v>
      </c>
      <c r="C205" s="157" t="s">
        <v>621</v>
      </c>
      <c r="D205" s="158" t="s">
        <v>36</v>
      </c>
      <c r="E205" s="158" t="s">
        <v>218</v>
      </c>
      <c r="F205" s="161" t="s">
        <v>182</v>
      </c>
      <c r="G205" s="161" t="s">
        <v>617</v>
      </c>
      <c r="H205" s="158" t="s">
        <v>618</v>
      </c>
      <c r="I205" s="158" t="s">
        <v>619</v>
      </c>
      <c r="J205" s="282" t="s">
        <v>620</v>
      </c>
      <c r="K205" s="158" t="s">
        <v>33</v>
      </c>
      <c r="L205" s="279">
        <v>3718567</v>
      </c>
      <c r="M205" s="158" t="s">
        <v>20</v>
      </c>
    </row>
    <row r="206" spans="2:13" ht="18" x14ac:dyDescent="0.3">
      <c r="B206" s="161">
        <v>43887</v>
      </c>
      <c r="C206" s="157" t="s">
        <v>154</v>
      </c>
      <c r="D206" s="158" t="s">
        <v>36</v>
      </c>
      <c r="E206" s="158" t="s">
        <v>121</v>
      </c>
      <c r="F206" s="161" t="s">
        <v>155</v>
      </c>
      <c r="G206" s="161" t="s">
        <v>116</v>
      </c>
      <c r="H206" s="158" t="s">
        <v>37</v>
      </c>
      <c r="I206" s="158" t="s">
        <v>97</v>
      </c>
      <c r="J206" s="282" t="s">
        <v>622</v>
      </c>
      <c r="K206" s="158" t="s">
        <v>33</v>
      </c>
      <c r="L206" s="279">
        <v>13456980</v>
      </c>
      <c r="M206" s="158" t="s">
        <v>20</v>
      </c>
    </row>
    <row r="207" spans="2:13" ht="18" x14ac:dyDescent="0.3">
      <c r="B207" s="161">
        <v>43887</v>
      </c>
      <c r="C207" s="157" t="s">
        <v>623</v>
      </c>
      <c r="D207" s="158" t="s">
        <v>36</v>
      </c>
      <c r="E207" s="158" t="s">
        <v>121</v>
      </c>
      <c r="F207" s="161" t="s">
        <v>175</v>
      </c>
      <c r="G207" s="161" t="s">
        <v>116</v>
      </c>
      <c r="H207" s="158" t="s">
        <v>573</v>
      </c>
      <c r="I207" s="158" t="s">
        <v>97</v>
      </c>
      <c r="J207" s="282">
        <v>43888</v>
      </c>
      <c r="K207" s="158" t="s">
        <v>39</v>
      </c>
      <c r="L207" s="279">
        <v>1057417</v>
      </c>
      <c r="M207" s="158" t="s">
        <v>20</v>
      </c>
    </row>
    <row r="208" spans="2:13" ht="18" x14ac:dyDescent="0.3">
      <c r="B208" s="161">
        <v>43888</v>
      </c>
      <c r="C208" s="157" t="s">
        <v>624</v>
      </c>
      <c r="D208" s="158" t="s">
        <v>36</v>
      </c>
      <c r="E208" s="158" t="s">
        <v>121</v>
      </c>
      <c r="F208" s="161" t="s">
        <v>155</v>
      </c>
      <c r="G208" s="161" t="s">
        <v>116</v>
      </c>
      <c r="H208" s="158" t="s">
        <v>475</v>
      </c>
      <c r="I208" s="158" t="s">
        <v>670</v>
      </c>
      <c r="J208" s="282">
        <v>43890</v>
      </c>
      <c r="K208" s="158" t="s">
        <v>625</v>
      </c>
      <c r="L208" s="279">
        <v>11259615</v>
      </c>
      <c r="M208" s="158" t="s">
        <v>20</v>
      </c>
    </row>
    <row r="209" spans="2:13" ht="18" x14ac:dyDescent="0.3">
      <c r="B209" s="161">
        <v>43888</v>
      </c>
      <c r="C209" s="157" t="s">
        <v>626</v>
      </c>
      <c r="D209" s="158" t="s">
        <v>36</v>
      </c>
      <c r="E209" s="158" t="s">
        <v>121</v>
      </c>
      <c r="F209" s="161" t="s">
        <v>155</v>
      </c>
      <c r="G209" s="161" t="s">
        <v>116</v>
      </c>
      <c r="H209" s="158" t="s">
        <v>475</v>
      </c>
      <c r="I209" s="158" t="s">
        <v>670</v>
      </c>
      <c r="J209" s="282">
        <v>43890</v>
      </c>
      <c r="K209" s="158" t="s">
        <v>625</v>
      </c>
      <c r="L209" s="279">
        <v>3145442</v>
      </c>
      <c r="M209" s="158" t="s">
        <v>20</v>
      </c>
    </row>
    <row r="210" spans="2:13" ht="18" x14ac:dyDescent="0.3">
      <c r="B210" s="161">
        <v>43888</v>
      </c>
      <c r="C210" s="157" t="s">
        <v>627</v>
      </c>
      <c r="D210" s="158" t="s">
        <v>36</v>
      </c>
      <c r="E210" s="158" t="s">
        <v>121</v>
      </c>
      <c r="F210" s="161" t="s">
        <v>155</v>
      </c>
      <c r="G210" s="161" t="s">
        <v>116</v>
      </c>
      <c r="H210" s="158" t="s">
        <v>475</v>
      </c>
      <c r="I210" s="158" t="s">
        <v>670</v>
      </c>
      <c r="J210" s="282">
        <v>43890</v>
      </c>
      <c r="K210" s="158" t="s">
        <v>625</v>
      </c>
      <c r="L210" s="279">
        <v>3145442</v>
      </c>
      <c r="M210" s="158" t="s">
        <v>20</v>
      </c>
    </row>
    <row r="211" spans="2:13" ht="18" x14ac:dyDescent="0.3">
      <c r="B211" s="161">
        <v>43888</v>
      </c>
      <c r="C211" s="157" t="s">
        <v>624</v>
      </c>
      <c r="D211" s="158" t="s">
        <v>36</v>
      </c>
      <c r="E211" s="158" t="s">
        <v>121</v>
      </c>
      <c r="F211" s="161" t="s">
        <v>155</v>
      </c>
      <c r="G211" s="161" t="s">
        <v>116</v>
      </c>
      <c r="H211" s="158" t="s">
        <v>628</v>
      </c>
      <c r="I211" s="158" t="s">
        <v>97</v>
      </c>
      <c r="J211" s="282">
        <v>43892</v>
      </c>
      <c r="K211" s="158" t="s">
        <v>39</v>
      </c>
      <c r="L211" s="279">
        <v>19665476</v>
      </c>
      <c r="M211" s="158" t="s">
        <v>20</v>
      </c>
    </row>
    <row r="212" spans="2:13" ht="18" x14ac:dyDescent="0.3">
      <c r="B212" s="161">
        <v>43888</v>
      </c>
      <c r="C212" s="157" t="s">
        <v>626</v>
      </c>
      <c r="D212" s="158" t="s">
        <v>36</v>
      </c>
      <c r="E212" s="158" t="s">
        <v>121</v>
      </c>
      <c r="F212" s="161" t="s">
        <v>155</v>
      </c>
      <c r="G212" s="161" t="s">
        <v>116</v>
      </c>
      <c r="H212" s="158" t="s">
        <v>629</v>
      </c>
      <c r="I212" s="158" t="s">
        <v>670</v>
      </c>
      <c r="J212" s="282">
        <v>43864</v>
      </c>
      <c r="K212" s="158" t="s">
        <v>33</v>
      </c>
      <c r="L212" s="279">
        <v>2920173</v>
      </c>
      <c r="M212" s="158" t="s">
        <v>20</v>
      </c>
    </row>
    <row r="213" spans="2:13" ht="18" x14ac:dyDescent="0.3">
      <c r="B213" s="161">
        <v>43888</v>
      </c>
      <c r="C213" s="157" t="s">
        <v>627</v>
      </c>
      <c r="D213" s="158" t="s">
        <v>36</v>
      </c>
      <c r="E213" s="158" t="s">
        <v>121</v>
      </c>
      <c r="F213" s="161" t="s">
        <v>155</v>
      </c>
      <c r="G213" s="161" t="s">
        <v>116</v>
      </c>
      <c r="H213" s="158" t="s">
        <v>629</v>
      </c>
      <c r="I213" s="158" t="s">
        <v>670</v>
      </c>
      <c r="J213" s="282">
        <v>43864</v>
      </c>
      <c r="K213" s="158" t="s">
        <v>33</v>
      </c>
      <c r="L213" s="279">
        <v>2920173</v>
      </c>
      <c r="M213" s="158" t="s">
        <v>20</v>
      </c>
    </row>
    <row r="214" spans="2:13" ht="18" x14ac:dyDescent="0.3">
      <c r="B214" s="161">
        <v>43888</v>
      </c>
      <c r="C214" s="157" t="s">
        <v>630</v>
      </c>
      <c r="D214" s="158" t="s">
        <v>36</v>
      </c>
      <c r="E214" s="158" t="s">
        <v>121</v>
      </c>
      <c r="F214" s="161" t="s">
        <v>155</v>
      </c>
      <c r="G214" s="161" t="s">
        <v>116</v>
      </c>
      <c r="H214" s="158" t="s">
        <v>475</v>
      </c>
      <c r="I214" s="158" t="s">
        <v>670</v>
      </c>
      <c r="J214" s="282">
        <v>43890</v>
      </c>
      <c r="K214" s="158" t="s">
        <v>625</v>
      </c>
      <c r="L214" s="279">
        <v>3145442</v>
      </c>
      <c r="M214" s="158" t="s">
        <v>20</v>
      </c>
    </row>
    <row r="215" spans="2:13" ht="18" x14ac:dyDescent="0.3">
      <c r="B215" s="161">
        <v>43888</v>
      </c>
      <c r="C215" s="157" t="s">
        <v>630</v>
      </c>
      <c r="D215" s="158" t="s">
        <v>36</v>
      </c>
      <c r="E215" s="158" t="s">
        <v>121</v>
      </c>
      <c r="F215" s="161" t="s">
        <v>155</v>
      </c>
      <c r="G215" s="161" t="s">
        <v>116</v>
      </c>
      <c r="H215" s="158" t="s">
        <v>629</v>
      </c>
      <c r="I215" s="158" t="s">
        <v>670</v>
      </c>
      <c r="J215" s="282">
        <v>43864</v>
      </c>
      <c r="K215" s="158" t="s">
        <v>33</v>
      </c>
      <c r="L215" s="279">
        <v>2920173</v>
      </c>
      <c r="M215" s="158" t="s">
        <v>20</v>
      </c>
    </row>
    <row r="216" spans="2:13" ht="18" x14ac:dyDescent="0.3">
      <c r="B216" s="161">
        <v>43888</v>
      </c>
      <c r="C216" s="157" t="s">
        <v>631</v>
      </c>
      <c r="D216" s="158" t="s">
        <v>36</v>
      </c>
      <c r="E216" s="158" t="s">
        <v>121</v>
      </c>
      <c r="F216" s="161" t="s">
        <v>155</v>
      </c>
      <c r="G216" s="161" t="s">
        <v>116</v>
      </c>
      <c r="H216" s="158" t="s">
        <v>573</v>
      </c>
      <c r="I216" s="158" t="s">
        <v>97</v>
      </c>
      <c r="J216" s="282">
        <v>43892</v>
      </c>
      <c r="K216" s="158" t="s">
        <v>39</v>
      </c>
      <c r="L216" s="279">
        <v>5857149</v>
      </c>
      <c r="M216" s="158" t="s">
        <v>20</v>
      </c>
    </row>
    <row r="217" spans="2:13" ht="18" x14ac:dyDescent="0.3">
      <c r="B217" s="161">
        <v>43888</v>
      </c>
      <c r="C217" s="157" t="s">
        <v>624</v>
      </c>
      <c r="D217" s="158" t="s">
        <v>36</v>
      </c>
      <c r="E217" s="158" t="s">
        <v>121</v>
      </c>
      <c r="F217" s="161" t="s">
        <v>155</v>
      </c>
      <c r="G217" s="161" t="s">
        <v>116</v>
      </c>
      <c r="H217" s="158" t="s">
        <v>32</v>
      </c>
      <c r="I217" s="158" t="s">
        <v>97</v>
      </c>
      <c r="J217" s="282">
        <v>43893</v>
      </c>
      <c r="K217" s="158" t="s">
        <v>33</v>
      </c>
      <c r="L217" s="279">
        <v>8205200</v>
      </c>
      <c r="M217" s="158" t="s">
        <v>20</v>
      </c>
    </row>
    <row r="218" spans="2:13" ht="18" x14ac:dyDescent="0.3">
      <c r="B218" s="161">
        <v>43888</v>
      </c>
      <c r="C218" s="157" t="s">
        <v>636</v>
      </c>
      <c r="D218" s="158" t="s">
        <v>36</v>
      </c>
      <c r="E218" s="158" t="s">
        <v>121</v>
      </c>
      <c r="F218" s="161" t="s">
        <v>155</v>
      </c>
      <c r="G218" s="161" t="s">
        <v>116</v>
      </c>
      <c r="H218" s="158" t="s">
        <v>573</v>
      </c>
      <c r="I218" s="158" t="s">
        <v>97</v>
      </c>
      <c r="J218" s="282">
        <v>43892</v>
      </c>
      <c r="K218" s="158" t="s">
        <v>39</v>
      </c>
      <c r="L218" s="279">
        <v>3099212</v>
      </c>
      <c r="M218" s="158" t="s">
        <v>20</v>
      </c>
    </row>
    <row r="219" spans="2:13" ht="18" hidden="1" x14ac:dyDescent="0.3">
      <c r="B219" s="161">
        <v>43890</v>
      </c>
      <c r="C219" s="157" t="s">
        <v>631</v>
      </c>
      <c r="D219" s="158" t="s">
        <v>36</v>
      </c>
      <c r="E219" s="158" t="s">
        <v>121</v>
      </c>
      <c r="F219" s="161" t="s">
        <v>155</v>
      </c>
      <c r="G219" s="161" t="s">
        <v>614</v>
      </c>
      <c r="H219" s="158" t="s">
        <v>573</v>
      </c>
      <c r="I219" s="158" t="s">
        <v>97</v>
      </c>
      <c r="J219" s="282">
        <v>43891</v>
      </c>
      <c r="K219" s="158" t="s">
        <v>39</v>
      </c>
      <c r="L219" s="279">
        <v>1517861</v>
      </c>
      <c r="M219" s="158" t="s">
        <v>20</v>
      </c>
    </row>
    <row r="220" spans="2:13" ht="18" hidden="1" x14ac:dyDescent="0.3">
      <c r="B220" s="161">
        <v>43890</v>
      </c>
      <c r="C220" s="157" t="s">
        <v>644</v>
      </c>
      <c r="D220" s="158" t="s">
        <v>36</v>
      </c>
      <c r="E220" s="158" t="s">
        <v>121</v>
      </c>
      <c r="F220" s="161" t="s">
        <v>155</v>
      </c>
      <c r="G220" s="161" t="s">
        <v>614</v>
      </c>
      <c r="H220" s="158" t="s">
        <v>573</v>
      </c>
      <c r="I220" s="158" t="s">
        <v>97</v>
      </c>
      <c r="J220" s="282">
        <v>43891</v>
      </c>
      <c r="K220" s="158" t="s">
        <v>39</v>
      </c>
      <c r="L220" s="279">
        <v>1724444</v>
      </c>
      <c r="M220" s="158" t="s">
        <v>20</v>
      </c>
    </row>
    <row r="221" spans="2:13" ht="18" hidden="1" x14ac:dyDescent="0.3">
      <c r="B221" s="161">
        <v>43890</v>
      </c>
      <c r="C221" s="157" t="s">
        <v>630</v>
      </c>
      <c r="D221" s="158" t="s">
        <v>36</v>
      </c>
      <c r="E221" s="158" t="s">
        <v>121</v>
      </c>
      <c r="F221" s="161" t="s">
        <v>155</v>
      </c>
      <c r="G221" s="161" t="s">
        <v>645</v>
      </c>
      <c r="H221" s="158" t="s">
        <v>475</v>
      </c>
      <c r="I221" s="158" t="s">
        <v>670</v>
      </c>
      <c r="J221" s="282">
        <v>43890</v>
      </c>
      <c r="K221" s="158" t="s">
        <v>625</v>
      </c>
      <c r="L221" s="279">
        <v>5396638</v>
      </c>
      <c r="M221" s="158" t="s">
        <v>20</v>
      </c>
    </row>
    <row r="222" spans="2:13" ht="18" hidden="1" x14ac:dyDescent="0.3">
      <c r="B222" s="161"/>
      <c r="C222" s="157"/>
      <c r="D222" s="158"/>
      <c r="E222" s="158"/>
      <c r="F222" s="161"/>
      <c r="G222" s="161"/>
      <c r="H222" s="158"/>
      <c r="I222" s="158"/>
      <c r="J222" s="282"/>
      <c r="K222" s="158"/>
      <c r="L222" s="279"/>
      <c r="M222" s="158"/>
    </row>
    <row r="223" spans="2:13" ht="18" hidden="1" x14ac:dyDescent="0.3">
      <c r="B223" s="161"/>
      <c r="C223" s="157"/>
      <c r="D223" s="158"/>
      <c r="E223" s="158"/>
      <c r="F223" s="161"/>
      <c r="G223" s="161"/>
      <c r="H223" s="158"/>
      <c r="I223" s="158"/>
      <c r="J223" s="282"/>
      <c r="K223" s="158"/>
      <c r="L223" s="279"/>
      <c r="M223" s="158"/>
    </row>
    <row r="224" spans="2:13" ht="18" hidden="1" x14ac:dyDescent="0.3">
      <c r="B224" s="161"/>
      <c r="C224" s="157"/>
      <c r="D224" s="158"/>
      <c r="E224" s="158"/>
      <c r="F224" s="161"/>
      <c r="G224" s="161"/>
      <c r="H224" s="158"/>
      <c r="I224" s="158"/>
      <c r="J224" s="282"/>
      <c r="K224" s="158"/>
      <c r="L224" s="279"/>
      <c r="M224" s="158"/>
    </row>
    <row r="225" spans="2:13" ht="18" hidden="1" x14ac:dyDescent="0.3">
      <c r="B225" s="161"/>
      <c r="C225" s="157"/>
      <c r="D225" s="158"/>
      <c r="E225" s="158"/>
      <c r="F225" s="161"/>
      <c r="G225" s="161"/>
      <c r="H225" s="158"/>
      <c r="I225" s="158"/>
      <c r="J225" s="282"/>
      <c r="K225" s="158"/>
      <c r="L225" s="279"/>
      <c r="M225" s="158"/>
    </row>
    <row r="226" spans="2:13" ht="18" hidden="1" x14ac:dyDescent="0.3">
      <c r="B226" s="161"/>
      <c r="C226" s="157"/>
      <c r="D226" s="158"/>
      <c r="E226" s="158"/>
      <c r="F226" s="161"/>
      <c r="G226" s="161"/>
      <c r="H226" s="158"/>
      <c r="I226" s="158"/>
      <c r="J226" s="282"/>
      <c r="K226" s="158"/>
      <c r="L226" s="279"/>
      <c r="M226" s="158"/>
    </row>
    <row r="227" spans="2:13" ht="18" hidden="1" x14ac:dyDescent="0.3">
      <c r="B227" s="161"/>
      <c r="C227" s="157"/>
      <c r="D227" s="158"/>
      <c r="E227" s="158"/>
      <c r="F227" s="161"/>
      <c r="G227" s="161"/>
      <c r="H227" s="158"/>
      <c r="I227" s="158"/>
      <c r="J227" s="282"/>
      <c r="K227" s="158"/>
      <c r="L227" s="279"/>
      <c r="M227" s="158"/>
    </row>
    <row r="228" spans="2:13" ht="18" hidden="1" x14ac:dyDescent="0.3">
      <c r="B228" s="161"/>
      <c r="C228" s="157"/>
      <c r="D228" s="158"/>
      <c r="E228" s="158"/>
      <c r="F228" s="161"/>
      <c r="G228" s="161"/>
      <c r="H228" s="158"/>
      <c r="I228" s="158"/>
      <c r="J228" s="282"/>
      <c r="K228" s="158"/>
      <c r="L228" s="279"/>
      <c r="M228" s="158"/>
    </row>
    <row r="229" spans="2:13" ht="18" hidden="1" x14ac:dyDescent="0.3">
      <c r="B229" s="161"/>
      <c r="C229" s="157"/>
      <c r="D229" s="158"/>
      <c r="E229" s="158"/>
      <c r="F229" s="161"/>
      <c r="G229" s="161"/>
      <c r="H229" s="158"/>
      <c r="I229" s="158"/>
      <c r="J229" s="282"/>
      <c r="K229" s="158"/>
      <c r="L229" s="279"/>
      <c r="M229" s="158"/>
    </row>
    <row r="230" spans="2:13" ht="18" hidden="1" x14ac:dyDescent="0.3">
      <c r="B230" s="161"/>
      <c r="C230" s="157"/>
      <c r="D230" s="158"/>
      <c r="E230" s="158"/>
      <c r="F230" s="161"/>
      <c r="G230" s="161"/>
      <c r="H230" s="158"/>
      <c r="I230" s="158"/>
      <c r="J230" s="282"/>
      <c r="K230" s="158"/>
      <c r="L230" s="279"/>
      <c r="M230" s="158"/>
    </row>
    <row r="231" spans="2:13" ht="18" hidden="1" x14ac:dyDescent="0.3">
      <c r="B231" s="161"/>
      <c r="C231" s="157"/>
      <c r="D231" s="158"/>
      <c r="E231" s="158"/>
      <c r="F231" s="161"/>
      <c r="G231" s="161"/>
      <c r="H231" s="158"/>
      <c r="I231" s="158"/>
      <c r="J231" s="282"/>
      <c r="K231" s="158"/>
      <c r="L231" s="279"/>
      <c r="M231" s="158"/>
    </row>
    <row r="232" spans="2:13" ht="18" hidden="1" x14ac:dyDescent="0.3">
      <c r="L232" s="284">
        <f>SUM(L4:L231)</f>
        <v>928045430</v>
      </c>
    </row>
  </sheetData>
  <autoFilter ref="B3:M232">
    <filterColumn colId="2">
      <filters>
        <filter val="Rezedent"/>
        <filter val="Rezident"/>
      </filters>
    </filterColumn>
    <filterColumn colId="5">
      <filters>
        <filter val="Buhara Palace"/>
        <filter val="Dubai Baza"/>
        <filter val="Malaka Oshirish Uchun"/>
        <filter val="Muzokaralar uchun"/>
        <filter val="Muzokarlar Uchun"/>
        <filter val="Tajriba almashish"/>
        <filter val="Tamojniy Otdel"/>
      </filters>
    </filterColumn>
    <sortState ref="B4:M289">
      <sortCondition ref="D3:D289"/>
    </sortState>
  </autoFilter>
  <printOptions horizontalCentered="1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autoPageBreaks="0" fitToPage="1"/>
  </sheetPr>
  <dimension ref="A4:M75"/>
  <sheetViews>
    <sheetView showGridLines="0" zoomScale="50" zoomScaleNormal="50" workbookViewId="0">
      <selection activeCell="E57" sqref="E57"/>
    </sheetView>
  </sheetViews>
  <sheetFormatPr defaultColWidth="9.109375" defaultRowHeight="13.8" x14ac:dyDescent="0.3"/>
  <cols>
    <col min="1" max="1" width="9.109375" style="136"/>
    <col min="2" max="2" width="14.88671875" style="159" bestFit="1" customWidth="1"/>
    <col min="3" max="3" width="47.44140625" style="135" bestFit="1" customWidth="1"/>
    <col min="4" max="4" width="14.44140625" style="134" bestFit="1" customWidth="1"/>
    <col min="5" max="5" width="34.88671875" style="134" bestFit="1" customWidth="1"/>
    <col min="6" max="6" width="32.44140625" style="159" bestFit="1" customWidth="1"/>
    <col min="7" max="7" width="33.6640625" style="159" bestFit="1" customWidth="1"/>
    <col min="8" max="8" width="20.88671875" style="134" bestFit="1" customWidth="1"/>
    <col min="9" max="9" width="18.6640625" style="134" bestFit="1" customWidth="1"/>
    <col min="10" max="10" width="18.6640625" style="159" bestFit="1" customWidth="1"/>
    <col min="11" max="11" width="18.6640625" style="134" bestFit="1" customWidth="1"/>
    <col min="12" max="12" width="23" style="280" bestFit="1" customWidth="1"/>
    <col min="13" max="13" width="18.6640625" style="134" bestFit="1" customWidth="1"/>
    <col min="14" max="16384" width="9.109375" style="134"/>
  </cols>
  <sheetData>
    <row r="4" spans="2:13" ht="16.2" x14ac:dyDescent="0.3">
      <c r="B4" s="160"/>
      <c r="C4" s="291"/>
      <c r="D4" s="291"/>
      <c r="E4" s="291"/>
      <c r="F4" s="292"/>
      <c r="G4" s="292"/>
      <c r="H4" s="291"/>
      <c r="I4" s="291"/>
      <c r="J4" s="292"/>
      <c r="K4" s="291"/>
      <c r="L4" s="293"/>
      <c r="M4" s="291"/>
    </row>
    <row r="5" spans="2:13" ht="18" x14ac:dyDescent="0.3">
      <c r="B5" s="161">
        <v>43892</v>
      </c>
      <c r="C5" s="157" t="s">
        <v>787</v>
      </c>
      <c r="D5" s="158" t="s">
        <v>647</v>
      </c>
      <c r="E5" s="158" t="s">
        <v>441</v>
      </c>
      <c r="F5" s="161" t="s">
        <v>788</v>
      </c>
      <c r="G5" s="161" t="s">
        <v>301</v>
      </c>
      <c r="H5" s="158" t="s">
        <v>402</v>
      </c>
      <c r="I5" s="158" t="s">
        <v>97</v>
      </c>
      <c r="J5" s="161" t="s">
        <v>789</v>
      </c>
      <c r="K5" s="158" t="s">
        <v>39</v>
      </c>
      <c r="L5" s="279">
        <v>5943357</v>
      </c>
      <c r="M5" s="158" t="s">
        <v>19</v>
      </c>
    </row>
    <row r="6" spans="2:13" ht="18" x14ac:dyDescent="0.3">
      <c r="B6" s="161">
        <v>43893</v>
      </c>
      <c r="C6" s="157" t="s">
        <v>195</v>
      </c>
      <c r="D6" s="158" t="s">
        <v>647</v>
      </c>
      <c r="E6" s="158" t="s">
        <v>308</v>
      </c>
      <c r="F6" s="161" t="s">
        <v>426</v>
      </c>
      <c r="G6" s="161" t="s">
        <v>301</v>
      </c>
      <c r="H6" s="158" t="s">
        <v>375</v>
      </c>
      <c r="I6" s="158" t="s">
        <v>97</v>
      </c>
      <c r="J6" s="161" t="s">
        <v>792</v>
      </c>
      <c r="K6" s="158" t="s">
        <v>33</v>
      </c>
      <c r="L6" s="279">
        <v>5418680</v>
      </c>
      <c r="M6" s="158" t="s">
        <v>20</v>
      </c>
    </row>
    <row r="7" spans="2:13" ht="18" x14ac:dyDescent="0.3">
      <c r="B7" s="161">
        <v>43894</v>
      </c>
      <c r="C7" s="157" t="s">
        <v>394</v>
      </c>
      <c r="D7" s="158" t="s">
        <v>647</v>
      </c>
      <c r="E7" s="158" t="s">
        <v>365</v>
      </c>
      <c r="F7" s="161" t="s">
        <v>366</v>
      </c>
      <c r="G7" s="161" t="s">
        <v>301</v>
      </c>
      <c r="H7" s="158" t="s">
        <v>409</v>
      </c>
      <c r="I7" s="158" t="s">
        <v>81</v>
      </c>
      <c r="J7" s="161">
        <v>43894</v>
      </c>
      <c r="K7" s="158" t="s">
        <v>33</v>
      </c>
      <c r="L7" s="279">
        <v>755209</v>
      </c>
      <c r="M7" s="158" t="s">
        <v>19</v>
      </c>
    </row>
    <row r="8" spans="2:13" ht="18" x14ac:dyDescent="0.3">
      <c r="B8" s="161">
        <v>43894</v>
      </c>
      <c r="C8" s="157" t="s">
        <v>397</v>
      </c>
      <c r="D8" s="158" t="s">
        <v>647</v>
      </c>
      <c r="E8" s="158" t="s">
        <v>365</v>
      </c>
      <c r="F8" s="161" t="s">
        <v>366</v>
      </c>
      <c r="G8" s="161" t="s">
        <v>301</v>
      </c>
      <c r="H8" s="158" t="s">
        <v>409</v>
      </c>
      <c r="I8" s="158" t="s">
        <v>81</v>
      </c>
      <c r="J8" s="161">
        <v>43894</v>
      </c>
      <c r="K8" s="158" t="s">
        <v>33</v>
      </c>
      <c r="L8" s="279">
        <v>755209</v>
      </c>
      <c r="M8" s="158" t="s">
        <v>19</v>
      </c>
    </row>
    <row r="9" spans="2:13" ht="18" x14ac:dyDescent="0.3">
      <c r="B9" s="161">
        <v>43894</v>
      </c>
      <c r="C9" s="157" t="s">
        <v>393</v>
      </c>
      <c r="D9" s="158" t="s">
        <v>647</v>
      </c>
      <c r="E9" s="158" t="s">
        <v>365</v>
      </c>
      <c r="F9" s="161" t="s">
        <v>366</v>
      </c>
      <c r="G9" s="161" t="s">
        <v>301</v>
      </c>
      <c r="H9" s="158" t="s">
        <v>409</v>
      </c>
      <c r="I9" s="158" t="s">
        <v>81</v>
      </c>
      <c r="J9" s="161">
        <v>43894</v>
      </c>
      <c r="K9" s="158" t="s">
        <v>33</v>
      </c>
      <c r="L9" s="279">
        <v>755209</v>
      </c>
      <c r="M9" s="158" t="s">
        <v>19</v>
      </c>
    </row>
    <row r="10" spans="2:13" ht="18" x14ac:dyDescent="0.3">
      <c r="B10" s="161">
        <v>43894</v>
      </c>
      <c r="C10" s="157" t="s">
        <v>793</v>
      </c>
      <c r="D10" s="158" t="s">
        <v>647</v>
      </c>
      <c r="E10" s="158" t="s">
        <v>365</v>
      </c>
      <c r="F10" s="161" t="s">
        <v>366</v>
      </c>
      <c r="G10" s="161" t="s">
        <v>301</v>
      </c>
      <c r="H10" s="158" t="s">
        <v>375</v>
      </c>
      <c r="I10" s="158" t="s">
        <v>97</v>
      </c>
      <c r="J10" s="161" t="s">
        <v>794</v>
      </c>
      <c r="K10" s="158" t="s">
        <v>33</v>
      </c>
      <c r="L10" s="279">
        <v>5437921</v>
      </c>
      <c r="M10" s="158" t="s">
        <v>19</v>
      </c>
    </row>
    <row r="11" spans="2:13" ht="18" x14ac:dyDescent="0.3">
      <c r="B11" s="161">
        <v>43894</v>
      </c>
      <c r="C11" s="157" t="s">
        <v>795</v>
      </c>
      <c r="D11" s="158" t="s">
        <v>647</v>
      </c>
      <c r="E11" s="158" t="s">
        <v>441</v>
      </c>
      <c r="F11" s="161" t="s">
        <v>788</v>
      </c>
      <c r="G11" s="161" t="s">
        <v>301</v>
      </c>
      <c r="H11" s="158" t="s">
        <v>372</v>
      </c>
      <c r="I11" s="158" t="s">
        <v>97</v>
      </c>
      <c r="J11" s="161">
        <v>43896</v>
      </c>
      <c r="K11" s="158" t="s">
        <v>33</v>
      </c>
      <c r="L11" s="279">
        <v>3298330</v>
      </c>
      <c r="M11" s="158" t="s">
        <v>19</v>
      </c>
    </row>
    <row r="12" spans="2:13" ht="18" x14ac:dyDescent="0.3">
      <c r="B12" s="161">
        <v>43894</v>
      </c>
      <c r="C12" s="157" t="s">
        <v>655</v>
      </c>
      <c r="D12" s="158" t="s">
        <v>647</v>
      </c>
      <c r="E12" s="158" t="s">
        <v>358</v>
      </c>
      <c r="F12" s="161" t="s">
        <v>359</v>
      </c>
      <c r="G12" s="161" t="s">
        <v>301</v>
      </c>
      <c r="H12" s="158" t="s">
        <v>796</v>
      </c>
      <c r="I12" s="158" t="s">
        <v>85</v>
      </c>
      <c r="J12" s="161">
        <v>43898</v>
      </c>
      <c r="K12" s="158" t="s">
        <v>322</v>
      </c>
      <c r="L12" s="279">
        <v>2630277</v>
      </c>
      <c r="M12" s="158" t="s">
        <v>19</v>
      </c>
    </row>
    <row r="13" spans="2:13" ht="18" x14ac:dyDescent="0.3">
      <c r="B13" s="161">
        <v>43895</v>
      </c>
      <c r="C13" s="157" t="s">
        <v>797</v>
      </c>
      <c r="D13" s="158" t="s">
        <v>647</v>
      </c>
      <c r="E13" s="158" t="s">
        <v>340</v>
      </c>
      <c r="F13" s="161" t="s">
        <v>374</v>
      </c>
      <c r="G13" s="161" t="s">
        <v>301</v>
      </c>
      <c r="H13" s="158" t="s">
        <v>372</v>
      </c>
      <c r="I13" s="158" t="s">
        <v>97</v>
      </c>
      <c r="J13" s="161">
        <v>43896</v>
      </c>
      <c r="K13" s="158" t="s">
        <v>33</v>
      </c>
      <c r="L13" s="279">
        <v>3298330</v>
      </c>
      <c r="M13" s="158" t="s">
        <v>20</v>
      </c>
    </row>
    <row r="14" spans="2:13" ht="18" x14ac:dyDescent="0.3">
      <c r="B14" s="161">
        <v>43895</v>
      </c>
      <c r="C14" s="157" t="s">
        <v>655</v>
      </c>
      <c r="D14" s="158" t="s">
        <v>647</v>
      </c>
      <c r="E14" s="158" t="s">
        <v>358</v>
      </c>
      <c r="F14" s="161" t="s">
        <v>359</v>
      </c>
      <c r="G14" s="161" t="s">
        <v>301</v>
      </c>
      <c r="H14" s="158" t="s">
        <v>801</v>
      </c>
      <c r="I14" s="158" t="s">
        <v>85</v>
      </c>
      <c r="J14" s="161">
        <v>43901</v>
      </c>
      <c r="K14" s="158" t="s">
        <v>33</v>
      </c>
      <c r="L14" s="279">
        <v>2152521</v>
      </c>
      <c r="M14" s="158" t="s">
        <v>19</v>
      </c>
    </row>
    <row r="15" spans="2:13" ht="18" x14ac:dyDescent="0.3">
      <c r="B15" s="161">
        <v>43899</v>
      </c>
      <c r="C15" s="157" t="s">
        <v>394</v>
      </c>
      <c r="D15" s="158" t="s">
        <v>647</v>
      </c>
      <c r="E15" s="158" t="s">
        <v>365</v>
      </c>
      <c r="F15" s="161" t="s">
        <v>366</v>
      </c>
      <c r="G15" s="161" t="s">
        <v>301</v>
      </c>
      <c r="H15" s="158" t="s">
        <v>354</v>
      </c>
      <c r="I15" s="158" t="s">
        <v>97</v>
      </c>
      <c r="J15" s="161">
        <v>43899</v>
      </c>
      <c r="K15" s="158" t="s">
        <v>33</v>
      </c>
      <c r="L15" s="279">
        <v>2590786</v>
      </c>
      <c r="M15" s="158" t="s">
        <v>19</v>
      </c>
    </row>
    <row r="16" spans="2:13" ht="18" x14ac:dyDescent="0.3">
      <c r="B16" s="161">
        <v>43899</v>
      </c>
      <c r="C16" s="157" t="s">
        <v>804</v>
      </c>
      <c r="D16" s="158" t="s">
        <v>647</v>
      </c>
      <c r="E16" s="158" t="s">
        <v>358</v>
      </c>
      <c r="F16" s="161" t="s">
        <v>359</v>
      </c>
      <c r="G16" s="161" t="s">
        <v>301</v>
      </c>
      <c r="H16" s="158" t="s">
        <v>372</v>
      </c>
      <c r="I16" s="158" t="s">
        <v>97</v>
      </c>
      <c r="J16" s="161">
        <v>43899</v>
      </c>
      <c r="K16" s="158" t="s">
        <v>39</v>
      </c>
      <c r="L16" s="279">
        <v>2886095</v>
      </c>
      <c r="M16" s="158" t="s">
        <v>19</v>
      </c>
    </row>
    <row r="17" spans="2:13" ht="18" x14ac:dyDescent="0.3">
      <c r="B17" s="161">
        <v>43899</v>
      </c>
      <c r="C17" s="157" t="s">
        <v>804</v>
      </c>
      <c r="D17" s="158" t="s">
        <v>647</v>
      </c>
      <c r="E17" s="158" t="s">
        <v>358</v>
      </c>
      <c r="F17" s="161" t="s">
        <v>359</v>
      </c>
      <c r="G17" s="161" t="s">
        <v>301</v>
      </c>
      <c r="H17" s="158" t="s">
        <v>354</v>
      </c>
      <c r="I17" s="158" t="s">
        <v>97</v>
      </c>
      <c r="J17" s="161">
        <v>43901</v>
      </c>
      <c r="K17" s="158" t="s">
        <v>39</v>
      </c>
      <c r="L17" s="279">
        <v>2420535</v>
      </c>
      <c r="M17" s="158" t="s">
        <v>19</v>
      </c>
    </row>
    <row r="18" spans="2:13" ht="18" x14ac:dyDescent="0.3">
      <c r="B18" s="161">
        <v>43900</v>
      </c>
      <c r="C18" s="157" t="s">
        <v>805</v>
      </c>
      <c r="D18" s="158" t="s">
        <v>647</v>
      </c>
      <c r="E18" s="158" t="s">
        <v>441</v>
      </c>
      <c r="F18" s="161" t="s">
        <v>788</v>
      </c>
      <c r="G18" s="161" t="s">
        <v>301</v>
      </c>
      <c r="H18" s="158" t="s">
        <v>372</v>
      </c>
      <c r="I18" s="158" t="s">
        <v>97</v>
      </c>
      <c r="J18" s="161">
        <v>43902</v>
      </c>
      <c r="K18" s="158" t="s">
        <v>33</v>
      </c>
      <c r="L18" s="279">
        <v>3298233</v>
      </c>
      <c r="M18" s="158" t="s">
        <v>19</v>
      </c>
    </row>
    <row r="19" spans="2:13" ht="18" x14ac:dyDescent="0.3">
      <c r="B19" s="161">
        <v>43900</v>
      </c>
      <c r="C19" s="157" t="s">
        <v>806</v>
      </c>
      <c r="D19" s="158" t="s">
        <v>647</v>
      </c>
      <c r="E19" s="158" t="s">
        <v>412</v>
      </c>
      <c r="F19" s="161" t="s">
        <v>149</v>
      </c>
      <c r="G19" s="161" t="s">
        <v>301</v>
      </c>
      <c r="H19" s="158" t="s">
        <v>372</v>
      </c>
      <c r="I19" s="158" t="s">
        <v>97</v>
      </c>
      <c r="J19" s="161">
        <v>43901</v>
      </c>
      <c r="K19" s="158" t="s">
        <v>33</v>
      </c>
      <c r="L19" s="279">
        <v>3298330</v>
      </c>
      <c r="M19" s="158" t="s">
        <v>19</v>
      </c>
    </row>
    <row r="20" spans="2:13" ht="18" x14ac:dyDescent="0.3">
      <c r="B20" s="161">
        <v>43900</v>
      </c>
      <c r="C20" s="157" t="s">
        <v>807</v>
      </c>
      <c r="D20" s="158" t="s">
        <v>647</v>
      </c>
      <c r="E20" s="158" t="s">
        <v>308</v>
      </c>
      <c r="F20" s="161" t="s">
        <v>426</v>
      </c>
      <c r="G20" s="161" t="s">
        <v>301</v>
      </c>
      <c r="H20" s="158" t="s">
        <v>375</v>
      </c>
      <c r="I20" s="158" t="s">
        <v>97</v>
      </c>
      <c r="J20" s="161" t="s">
        <v>808</v>
      </c>
      <c r="K20" s="158" t="s">
        <v>39</v>
      </c>
      <c r="L20" s="279">
        <v>4087598</v>
      </c>
      <c r="M20" s="158" t="s">
        <v>20</v>
      </c>
    </row>
    <row r="21" spans="2:13" ht="18" x14ac:dyDescent="0.3">
      <c r="B21" s="161">
        <v>43901</v>
      </c>
      <c r="C21" s="157" t="s">
        <v>809</v>
      </c>
      <c r="D21" s="158" t="s">
        <v>647</v>
      </c>
      <c r="E21" s="158" t="s">
        <v>340</v>
      </c>
      <c r="F21" s="161" t="s">
        <v>374</v>
      </c>
      <c r="G21" s="161" t="s">
        <v>301</v>
      </c>
      <c r="H21" s="158" t="s">
        <v>372</v>
      </c>
      <c r="I21" s="158" t="s">
        <v>97</v>
      </c>
      <c r="J21" s="161">
        <v>43903</v>
      </c>
      <c r="K21" s="158" t="s">
        <v>33</v>
      </c>
      <c r="L21" s="279">
        <v>3312245</v>
      </c>
      <c r="M21" s="158" t="s">
        <v>20</v>
      </c>
    </row>
    <row r="22" spans="2:13" ht="18" x14ac:dyDescent="0.3">
      <c r="B22" s="161">
        <v>43901</v>
      </c>
      <c r="C22" s="157" t="s">
        <v>646</v>
      </c>
      <c r="D22" s="158" t="s">
        <v>647</v>
      </c>
      <c r="E22" s="158" t="s">
        <v>358</v>
      </c>
      <c r="F22" s="161" t="s">
        <v>359</v>
      </c>
      <c r="G22" s="161" t="s">
        <v>301</v>
      </c>
      <c r="H22" s="158" t="s">
        <v>810</v>
      </c>
      <c r="I22" s="158" t="s">
        <v>97</v>
      </c>
      <c r="J22" s="161" t="s">
        <v>808</v>
      </c>
      <c r="K22" s="158" t="s">
        <v>39</v>
      </c>
      <c r="L22" s="279">
        <v>13575702</v>
      </c>
      <c r="M22" s="158" t="s">
        <v>19</v>
      </c>
    </row>
    <row r="23" spans="2:13" ht="18" x14ac:dyDescent="0.3">
      <c r="B23" s="161">
        <v>43901</v>
      </c>
      <c r="C23" s="157" t="s">
        <v>811</v>
      </c>
      <c r="D23" s="158" t="s">
        <v>647</v>
      </c>
      <c r="E23" s="158" t="s">
        <v>314</v>
      </c>
      <c r="F23" s="161" t="s">
        <v>359</v>
      </c>
      <c r="G23" s="161" t="s">
        <v>301</v>
      </c>
      <c r="H23" s="158" t="s">
        <v>372</v>
      </c>
      <c r="I23" s="158" t="s">
        <v>97</v>
      </c>
      <c r="J23" s="161">
        <v>43902</v>
      </c>
      <c r="K23" s="158" t="s">
        <v>39</v>
      </c>
      <c r="L23" s="279">
        <v>4056308</v>
      </c>
      <c r="M23" s="158" t="s">
        <v>20</v>
      </c>
    </row>
    <row r="24" spans="2:13" ht="18" x14ac:dyDescent="0.3">
      <c r="B24" s="161">
        <v>43901</v>
      </c>
      <c r="C24" s="157" t="s">
        <v>811</v>
      </c>
      <c r="D24" s="158" t="s">
        <v>647</v>
      </c>
      <c r="E24" s="158" t="s">
        <v>314</v>
      </c>
      <c r="F24" s="161" t="s">
        <v>359</v>
      </c>
      <c r="G24" s="161" t="s">
        <v>301</v>
      </c>
      <c r="H24" s="158" t="s">
        <v>354</v>
      </c>
      <c r="I24" s="158" t="s">
        <v>97</v>
      </c>
      <c r="J24" s="161">
        <v>43903</v>
      </c>
      <c r="K24" s="158" t="s">
        <v>39</v>
      </c>
      <c r="L24" s="279">
        <v>2901886</v>
      </c>
      <c r="M24" s="158" t="s">
        <v>20</v>
      </c>
    </row>
    <row r="25" spans="2:13" ht="18" x14ac:dyDescent="0.3">
      <c r="B25" s="161">
        <v>43901</v>
      </c>
      <c r="C25" s="157" t="s">
        <v>812</v>
      </c>
      <c r="D25" s="158" t="s">
        <v>647</v>
      </c>
      <c r="E25" s="158" t="s">
        <v>314</v>
      </c>
      <c r="F25" s="161" t="s">
        <v>359</v>
      </c>
      <c r="G25" s="161" t="s">
        <v>301</v>
      </c>
      <c r="H25" s="158" t="s">
        <v>354</v>
      </c>
      <c r="I25" s="158" t="s">
        <v>97</v>
      </c>
      <c r="J25" s="161">
        <v>43903</v>
      </c>
      <c r="K25" s="158" t="s">
        <v>39</v>
      </c>
      <c r="L25" s="279">
        <v>2901886</v>
      </c>
      <c r="M25" s="158" t="s">
        <v>20</v>
      </c>
    </row>
    <row r="26" spans="2:13" ht="18" x14ac:dyDescent="0.3">
      <c r="B26" s="161">
        <v>43901</v>
      </c>
      <c r="C26" s="157" t="s">
        <v>812</v>
      </c>
      <c r="D26" s="158" t="s">
        <v>647</v>
      </c>
      <c r="E26" s="158" t="s">
        <v>314</v>
      </c>
      <c r="F26" s="161" t="s">
        <v>359</v>
      </c>
      <c r="G26" s="161" t="s">
        <v>301</v>
      </c>
      <c r="H26" s="158" t="s">
        <v>354</v>
      </c>
      <c r="I26" s="158" t="s">
        <v>97</v>
      </c>
      <c r="J26" s="161">
        <v>43902</v>
      </c>
      <c r="K26" s="158" t="s">
        <v>39</v>
      </c>
      <c r="L26" s="279">
        <v>4056308</v>
      </c>
      <c r="M26" s="158" t="s">
        <v>20</v>
      </c>
    </row>
    <row r="27" spans="2:13" ht="18" x14ac:dyDescent="0.3">
      <c r="B27" s="161">
        <v>43901</v>
      </c>
      <c r="C27" s="157" t="s">
        <v>813</v>
      </c>
      <c r="D27" s="158" t="s">
        <v>647</v>
      </c>
      <c r="E27" s="158" t="s">
        <v>365</v>
      </c>
      <c r="F27" s="161" t="s">
        <v>366</v>
      </c>
      <c r="G27" s="161" t="s">
        <v>301</v>
      </c>
      <c r="H27" s="158" t="s">
        <v>814</v>
      </c>
      <c r="I27" s="158" t="s">
        <v>97</v>
      </c>
      <c r="J27" s="161" t="s">
        <v>815</v>
      </c>
      <c r="K27" s="158" t="s">
        <v>39</v>
      </c>
      <c r="L27" s="279">
        <v>7014323</v>
      </c>
      <c r="M27" s="158" t="s">
        <v>19</v>
      </c>
    </row>
    <row r="28" spans="2:13" ht="18" x14ac:dyDescent="0.3">
      <c r="B28" s="161">
        <v>43901</v>
      </c>
      <c r="C28" s="157" t="s">
        <v>816</v>
      </c>
      <c r="D28" s="158" t="s">
        <v>647</v>
      </c>
      <c r="E28" s="158" t="s">
        <v>365</v>
      </c>
      <c r="F28" s="161" t="s">
        <v>366</v>
      </c>
      <c r="G28" s="161" t="s">
        <v>301</v>
      </c>
      <c r="H28" s="158" t="s">
        <v>814</v>
      </c>
      <c r="I28" s="158" t="s">
        <v>97</v>
      </c>
      <c r="J28" s="161" t="s">
        <v>817</v>
      </c>
      <c r="K28" s="158" t="s">
        <v>39</v>
      </c>
      <c r="L28" s="279">
        <v>7014323</v>
      </c>
      <c r="M28" s="158" t="s">
        <v>19</v>
      </c>
    </row>
    <row r="29" spans="2:13" ht="18" x14ac:dyDescent="0.3">
      <c r="B29" s="161">
        <v>43901</v>
      </c>
      <c r="C29" s="157" t="s">
        <v>818</v>
      </c>
      <c r="D29" s="158" t="s">
        <v>647</v>
      </c>
      <c r="E29" s="158" t="s">
        <v>365</v>
      </c>
      <c r="F29" s="161" t="s">
        <v>366</v>
      </c>
      <c r="G29" s="161" t="s">
        <v>301</v>
      </c>
      <c r="H29" s="158" t="s">
        <v>814</v>
      </c>
      <c r="I29" s="158" t="s">
        <v>97</v>
      </c>
      <c r="J29" s="161" t="s">
        <v>815</v>
      </c>
      <c r="K29" s="158" t="s">
        <v>39</v>
      </c>
      <c r="L29" s="279">
        <v>5888580</v>
      </c>
      <c r="M29" s="158" t="s">
        <v>19</v>
      </c>
    </row>
    <row r="30" spans="2:13" ht="18" x14ac:dyDescent="0.3">
      <c r="B30" s="161">
        <v>43902</v>
      </c>
      <c r="C30" s="157" t="s">
        <v>819</v>
      </c>
      <c r="D30" s="158" t="s">
        <v>647</v>
      </c>
      <c r="E30" s="158" t="s">
        <v>365</v>
      </c>
      <c r="F30" s="161" t="s">
        <v>149</v>
      </c>
      <c r="G30" s="161" t="s">
        <v>301</v>
      </c>
      <c r="H30" s="158" t="s">
        <v>372</v>
      </c>
      <c r="I30" s="158" t="s">
        <v>97</v>
      </c>
      <c r="J30" s="161">
        <v>43903</v>
      </c>
      <c r="K30" s="158" t="s">
        <v>33</v>
      </c>
      <c r="L30" s="279">
        <v>3312245</v>
      </c>
      <c r="M30" s="158" t="s">
        <v>20</v>
      </c>
    </row>
    <row r="31" spans="2:13" ht="18" x14ac:dyDescent="0.3">
      <c r="B31" s="161">
        <v>43902</v>
      </c>
      <c r="C31" s="157" t="s">
        <v>653</v>
      </c>
      <c r="D31" s="158" t="s">
        <v>647</v>
      </c>
      <c r="E31" s="158" t="s">
        <v>308</v>
      </c>
      <c r="F31" s="161" t="s">
        <v>426</v>
      </c>
      <c r="G31" s="161" t="s">
        <v>304</v>
      </c>
      <c r="H31" s="158" t="s">
        <v>402</v>
      </c>
      <c r="I31" s="158" t="s">
        <v>97</v>
      </c>
      <c r="J31" s="161" t="s">
        <v>820</v>
      </c>
      <c r="K31" s="158" t="s">
        <v>33</v>
      </c>
      <c r="L31" s="279">
        <v>2508799</v>
      </c>
      <c r="M31" s="158" t="s">
        <v>20</v>
      </c>
    </row>
    <row r="32" spans="2:13" ht="18" x14ac:dyDescent="0.3">
      <c r="B32" s="161">
        <v>43903</v>
      </c>
      <c r="C32" s="157" t="s">
        <v>793</v>
      </c>
      <c r="D32" s="158" t="s">
        <v>647</v>
      </c>
      <c r="E32" s="158" t="s">
        <v>365</v>
      </c>
      <c r="F32" s="161" t="s">
        <v>366</v>
      </c>
      <c r="G32" s="161" t="s">
        <v>137</v>
      </c>
      <c r="H32" s="158" t="s">
        <v>375</v>
      </c>
      <c r="I32" s="158" t="s">
        <v>97</v>
      </c>
      <c r="J32" s="161">
        <v>43904</v>
      </c>
      <c r="K32" s="158" t="s">
        <v>33</v>
      </c>
      <c r="L32" s="279">
        <v>946993</v>
      </c>
      <c r="M32" s="158" t="s">
        <v>19</v>
      </c>
    </row>
    <row r="33" spans="2:13" ht="18" x14ac:dyDescent="0.3">
      <c r="B33" s="161">
        <v>43904</v>
      </c>
      <c r="C33" s="157" t="s">
        <v>821</v>
      </c>
      <c r="D33" s="158" t="s">
        <v>647</v>
      </c>
      <c r="E33" s="158" t="s">
        <v>365</v>
      </c>
      <c r="F33" s="161" t="s">
        <v>366</v>
      </c>
      <c r="G33" s="161" t="s">
        <v>304</v>
      </c>
      <c r="H33" s="158" t="s">
        <v>354</v>
      </c>
      <c r="I33" s="158" t="s">
        <v>97</v>
      </c>
      <c r="J33" s="161">
        <v>43905</v>
      </c>
      <c r="K33" s="158" t="s">
        <v>33</v>
      </c>
      <c r="L33" s="279">
        <v>3934739</v>
      </c>
      <c r="M33" s="158" t="s">
        <v>19</v>
      </c>
    </row>
    <row r="34" spans="2:13" ht="18" x14ac:dyDescent="0.3">
      <c r="B34" s="161">
        <v>43904</v>
      </c>
      <c r="C34" s="157" t="s">
        <v>822</v>
      </c>
      <c r="D34" s="158" t="s">
        <v>647</v>
      </c>
      <c r="E34" s="158" t="s">
        <v>441</v>
      </c>
      <c r="F34" s="161" t="s">
        <v>788</v>
      </c>
      <c r="G34" s="161" t="s">
        <v>419</v>
      </c>
      <c r="H34" s="158" t="s">
        <v>420</v>
      </c>
      <c r="I34" s="158" t="s">
        <v>84</v>
      </c>
      <c r="J34" s="161" t="s">
        <v>823</v>
      </c>
      <c r="K34" s="158" t="s">
        <v>162</v>
      </c>
      <c r="L34" s="279">
        <v>2435393</v>
      </c>
      <c r="M34" s="158" t="s">
        <v>20</v>
      </c>
    </row>
    <row r="35" spans="2:13" ht="18" x14ac:dyDescent="0.3">
      <c r="B35" s="161">
        <v>43892</v>
      </c>
      <c r="C35" s="157" t="s">
        <v>739</v>
      </c>
      <c r="D35" s="158" t="s">
        <v>647</v>
      </c>
      <c r="E35" s="158" t="s">
        <v>121</v>
      </c>
      <c r="F35" s="161" t="s">
        <v>639</v>
      </c>
      <c r="G35" s="161" t="s">
        <v>116</v>
      </c>
      <c r="H35" s="158" t="s">
        <v>740</v>
      </c>
      <c r="I35" s="158" t="s">
        <v>43</v>
      </c>
      <c r="J35" s="161" t="s">
        <v>741</v>
      </c>
      <c r="K35" s="158" t="s">
        <v>33</v>
      </c>
      <c r="L35" s="279">
        <v>28252480</v>
      </c>
      <c r="M35" s="158" t="s">
        <v>20</v>
      </c>
    </row>
    <row r="36" spans="2:13" ht="18" x14ac:dyDescent="0.3">
      <c r="B36" s="161">
        <v>43892</v>
      </c>
      <c r="C36" s="157" t="s">
        <v>742</v>
      </c>
      <c r="D36" s="158" t="s">
        <v>647</v>
      </c>
      <c r="E36" s="158" t="s">
        <v>121</v>
      </c>
      <c r="F36" s="161" t="s">
        <v>639</v>
      </c>
      <c r="G36" s="161" t="s">
        <v>116</v>
      </c>
      <c r="H36" s="158" t="s">
        <v>740</v>
      </c>
      <c r="I36" s="158" t="s">
        <v>43</v>
      </c>
      <c r="J36" s="161" t="s">
        <v>741</v>
      </c>
      <c r="K36" s="158" t="s">
        <v>33</v>
      </c>
      <c r="L36" s="279">
        <v>28252480</v>
      </c>
      <c r="M36" s="158" t="s">
        <v>20</v>
      </c>
    </row>
    <row r="37" spans="2:13" ht="18" x14ac:dyDescent="0.3">
      <c r="B37" s="161">
        <v>43894</v>
      </c>
      <c r="C37" s="157" t="s">
        <v>110</v>
      </c>
      <c r="D37" s="158" t="s">
        <v>647</v>
      </c>
      <c r="E37" s="158" t="s">
        <v>445</v>
      </c>
      <c r="F37" s="161" t="s">
        <v>748</v>
      </c>
      <c r="G37" s="161" t="s">
        <v>749</v>
      </c>
      <c r="H37" s="158" t="s">
        <v>35</v>
      </c>
      <c r="I37" s="158" t="s">
        <v>97</v>
      </c>
      <c r="J37" s="161" t="s">
        <v>750</v>
      </c>
      <c r="K37" s="158" t="s">
        <v>39</v>
      </c>
      <c r="L37" s="279">
        <v>4724906</v>
      </c>
      <c r="M37" s="158" t="s">
        <v>19</v>
      </c>
    </row>
    <row r="38" spans="2:13" ht="18" x14ac:dyDescent="0.3">
      <c r="B38" s="161">
        <v>43896</v>
      </c>
      <c r="C38" s="157" t="s">
        <v>758</v>
      </c>
      <c r="D38" s="158" t="s">
        <v>647</v>
      </c>
      <c r="E38" s="158" t="s">
        <v>165</v>
      </c>
      <c r="F38" s="161" t="s">
        <v>485</v>
      </c>
      <c r="G38" s="161" t="s">
        <v>137</v>
      </c>
      <c r="H38" s="158" t="s">
        <v>32</v>
      </c>
      <c r="I38" s="158" t="s">
        <v>97</v>
      </c>
      <c r="J38" s="161">
        <v>43905</v>
      </c>
      <c r="K38" s="158" t="s">
        <v>39</v>
      </c>
      <c r="L38" s="279">
        <v>1235070</v>
      </c>
      <c r="M38" s="158" t="s">
        <v>19</v>
      </c>
    </row>
    <row r="39" spans="2:13" ht="18" x14ac:dyDescent="0.3">
      <c r="B39" s="161">
        <v>43896</v>
      </c>
      <c r="C39" s="157" t="s">
        <v>759</v>
      </c>
      <c r="D39" s="158" t="s">
        <v>647</v>
      </c>
      <c r="E39" s="158" t="s">
        <v>165</v>
      </c>
      <c r="F39" s="161" t="s">
        <v>485</v>
      </c>
      <c r="G39" s="161" t="s">
        <v>116</v>
      </c>
      <c r="H39" s="158" t="s">
        <v>32</v>
      </c>
      <c r="I39" s="158" t="s">
        <v>97</v>
      </c>
      <c r="J39" s="161">
        <v>43905</v>
      </c>
      <c r="K39" s="158" t="s">
        <v>39</v>
      </c>
      <c r="L39" s="279">
        <v>2771929</v>
      </c>
      <c r="M39" s="158" t="s">
        <v>19</v>
      </c>
    </row>
    <row r="40" spans="2:13" ht="18" x14ac:dyDescent="0.3">
      <c r="B40" s="161">
        <v>43897</v>
      </c>
      <c r="C40" s="157" t="s">
        <v>760</v>
      </c>
      <c r="D40" s="158" t="s">
        <v>647</v>
      </c>
      <c r="E40" s="158" t="s">
        <v>445</v>
      </c>
      <c r="F40" s="161" t="s">
        <v>546</v>
      </c>
      <c r="G40" s="161" t="s">
        <v>761</v>
      </c>
      <c r="H40" s="158" t="s">
        <v>32</v>
      </c>
      <c r="I40" s="158" t="s">
        <v>97</v>
      </c>
      <c r="J40" s="161">
        <v>43899</v>
      </c>
      <c r="K40" s="158" t="s">
        <v>33</v>
      </c>
      <c r="L40" s="279">
        <v>3298330</v>
      </c>
      <c r="M40" s="158" t="s">
        <v>19</v>
      </c>
    </row>
    <row r="41" spans="2:13" ht="18" x14ac:dyDescent="0.3">
      <c r="B41" s="161">
        <v>43897</v>
      </c>
      <c r="C41" s="157" t="s">
        <v>762</v>
      </c>
      <c r="D41" s="158" t="s">
        <v>647</v>
      </c>
      <c r="E41" s="158" t="s">
        <v>445</v>
      </c>
      <c r="F41" s="161" t="s">
        <v>546</v>
      </c>
      <c r="G41" s="161" t="s">
        <v>761</v>
      </c>
      <c r="H41" s="158" t="s">
        <v>32</v>
      </c>
      <c r="I41" s="158" t="s">
        <v>97</v>
      </c>
      <c r="J41" s="161">
        <v>43899</v>
      </c>
      <c r="K41" s="158" t="s">
        <v>33</v>
      </c>
      <c r="L41" s="279">
        <v>3298330</v>
      </c>
      <c r="M41" s="158" t="s">
        <v>19</v>
      </c>
    </row>
    <row r="42" spans="2:13" ht="18" x14ac:dyDescent="0.3">
      <c r="B42" s="161">
        <v>43897</v>
      </c>
      <c r="C42" s="157" t="s">
        <v>763</v>
      </c>
      <c r="D42" s="158" t="s">
        <v>647</v>
      </c>
      <c r="E42" s="158" t="s">
        <v>445</v>
      </c>
      <c r="F42" s="161" t="s">
        <v>546</v>
      </c>
      <c r="G42" s="161" t="s">
        <v>761</v>
      </c>
      <c r="H42" s="158" t="s">
        <v>32</v>
      </c>
      <c r="I42" s="158" t="s">
        <v>97</v>
      </c>
      <c r="J42" s="161">
        <v>43899</v>
      </c>
      <c r="K42" s="158" t="s">
        <v>33</v>
      </c>
      <c r="L42" s="279">
        <v>3298330</v>
      </c>
      <c r="M42" s="158" t="s">
        <v>19</v>
      </c>
    </row>
    <row r="43" spans="2:13" ht="18" x14ac:dyDescent="0.3">
      <c r="B43" s="161">
        <v>43897</v>
      </c>
      <c r="C43" s="157" t="s">
        <v>764</v>
      </c>
      <c r="D43" s="158" t="s">
        <v>647</v>
      </c>
      <c r="E43" s="158" t="s">
        <v>445</v>
      </c>
      <c r="F43" s="161" t="s">
        <v>546</v>
      </c>
      <c r="G43" s="161" t="s">
        <v>761</v>
      </c>
      <c r="H43" s="158" t="s">
        <v>32</v>
      </c>
      <c r="I43" s="158" t="s">
        <v>97</v>
      </c>
      <c r="J43" s="161">
        <v>43899</v>
      </c>
      <c r="K43" s="158" t="s">
        <v>33</v>
      </c>
      <c r="L43" s="279">
        <v>3298330</v>
      </c>
      <c r="M43" s="158" t="s">
        <v>19</v>
      </c>
    </row>
    <row r="44" spans="2:13" ht="18" x14ac:dyDescent="0.3">
      <c r="B44" s="161">
        <v>43897</v>
      </c>
      <c r="C44" s="157" t="s">
        <v>765</v>
      </c>
      <c r="D44" s="158" t="s">
        <v>647</v>
      </c>
      <c r="E44" s="158" t="s">
        <v>121</v>
      </c>
      <c r="F44" s="161" t="s">
        <v>175</v>
      </c>
      <c r="G44" s="161" t="s">
        <v>116</v>
      </c>
      <c r="H44" s="158" t="s">
        <v>35</v>
      </c>
      <c r="I44" s="158" t="s">
        <v>97</v>
      </c>
      <c r="J44" s="161" t="s">
        <v>766</v>
      </c>
      <c r="K44" s="158" t="s">
        <v>33</v>
      </c>
      <c r="L44" s="279">
        <v>5505041</v>
      </c>
      <c r="M44" s="158" t="s">
        <v>20</v>
      </c>
    </row>
    <row r="45" spans="2:13" ht="18" x14ac:dyDescent="0.3">
      <c r="B45" s="161">
        <v>43897</v>
      </c>
      <c r="C45" s="157" t="s">
        <v>767</v>
      </c>
      <c r="D45" s="158" t="s">
        <v>647</v>
      </c>
      <c r="E45" s="158" t="s">
        <v>121</v>
      </c>
      <c r="F45" s="161" t="s">
        <v>175</v>
      </c>
      <c r="G45" s="161" t="s">
        <v>116</v>
      </c>
      <c r="H45" s="158" t="s">
        <v>35</v>
      </c>
      <c r="I45" s="158" t="s">
        <v>97</v>
      </c>
      <c r="J45" s="161" t="s">
        <v>766</v>
      </c>
      <c r="K45" s="158" t="s">
        <v>33</v>
      </c>
      <c r="L45" s="279">
        <v>5505041</v>
      </c>
      <c r="M45" s="158" t="s">
        <v>20</v>
      </c>
    </row>
    <row r="46" spans="2:13" ht="18" x14ac:dyDescent="0.3">
      <c r="B46" s="161">
        <v>43899</v>
      </c>
      <c r="C46" s="157" t="s">
        <v>768</v>
      </c>
      <c r="D46" s="158" t="s">
        <v>647</v>
      </c>
      <c r="E46" s="158" t="s">
        <v>507</v>
      </c>
      <c r="F46" s="161" t="s">
        <v>769</v>
      </c>
      <c r="G46" s="161" t="s">
        <v>116</v>
      </c>
      <c r="H46" s="158" t="s">
        <v>35</v>
      </c>
      <c r="I46" s="158" t="s">
        <v>97</v>
      </c>
      <c r="J46" s="161" t="s">
        <v>770</v>
      </c>
      <c r="K46" s="158" t="s">
        <v>33</v>
      </c>
      <c r="L46" s="279">
        <v>14818568</v>
      </c>
      <c r="M46" s="158" t="s">
        <v>20</v>
      </c>
    </row>
    <row r="47" spans="2:13" ht="18" x14ac:dyDescent="0.3">
      <c r="B47" s="161">
        <v>43899</v>
      </c>
      <c r="C47" s="157" t="s">
        <v>604</v>
      </c>
      <c r="D47" s="158" t="s">
        <v>647</v>
      </c>
      <c r="E47" s="158" t="s">
        <v>507</v>
      </c>
      <c r="F47" s="161" t="s">
        <v>769</v>
      </c>
      <c r="G47" s="161" t="s">
        <v>116</v>
      </c>
      <c r="H47" s="158" t="s">
        <v>35</v>
      </c>
      <c r="I47" s="158" t="s">
        <v>97</v>
      </c>
      <c r="J47" s="161" t="s">
        <v>771</v>
      </c>
      <c r="K47" s="158" t="s">
        <v>33</v>
      </c>
      <c r="L47" s="279">
        <v>14818568</v>
      </c>
      <c r="M47" s="158" t="s">
        <v>20</v>
      </c>
    </row>
    <row r="48" spans="2:13" ht="18" x14ac:dyDescent="0.3">
      <c r="B48" s="161">
        <v>43899</v>
      </c>
      <c r="C48" s="157" t="s">
        <v>772</v>
      </c>
      <c r="D48" s="158" t="s">
        <v>647</v>
      </c>
      <c r="E48" s="158" t="s">
        <v>507</v>
      </c>
      <c r="F48" s="161" t="s">
        <v>769</v>
      </c>
      <c r="G48" s="161" t="s">
        <v>116</v>
      </c>
      <c r="H48" s="158" t="s">
        <v>35</v>
      </c>
      <c r="I48" s="158" t="s">
        <v>97</v>
      </c>
      <c r="J48" s="161" t="s">
        <v>770</v>
      </c>
      <c r="K48" s="158" t="s">
        <v>33</v>
      </c>
      <c r="L48" s="279">
        <v>5723337</v>
      </c>
      <c r="M48" s="158" t="s">
        <v>20</v>
      </c>
    </row>
    <row r="49" spans="2:13" ht="18" x14ac:dyDescent="0.3">
      <c r="B49" s="161">
        <v>43899</v>
      </c>
      <c r="C49" s="157" t="s">
        <v>773</v>
      </c>
      <c r="D49" s="158" t="s">
        <v>647</v>
      </c>
      <c r="E49" s="158" t="s">
        <v>507</v>
      </c>
      <c r="F49" s="161" t="s">
        <v>769</v>
      </c>
      <c r="G49" s="161" t="s">
        <v>116</v>
      </c>
      <c r="H49" s="158" t="s">
        <v>35</v>
      </c>
      <c r="I49" s="158" t="s">
        <v>97</v>
      </c>
      <c r="J49" s="161" t="s">
        <v>770</v>
      </c>
      <c r="K49" s="158" t="s">
        <v>33</v>
      </c>
      <c r="L49" s="279">
        <v>5723337</v>
      </c>
      <c r="M49" s="158" t="s">
        <v>20</v>
      </c>
    </row>
    <row r="50" spans="2:13" ht="18" x14ac:dyDescent="0.3">
      <c r="B50" s="161">
        <v>43899</v>
      </c>
      <c r="C50" s="157" t="s">
        <v>774</v>
      </c>
      <c r="D50" s="158" t="s">
        <v>647</v>
      </c>
      <c r="E50" s="158" t="s">
        <v>507</v>
      </c>
      <c r="F50" s="161" t="s">
        <v>769</v>
      </c>
      <c r="G50" s="161" t="s">
        <v>116</v>
      </c>
      <c r="H50" s="158" t="s">
        <v>35</v>
      </c>
      <c r="I50" s="158" t="s">
        <v>97</v>
      </c>
      <c r="J50" s="161" t="s">
        <v>770</v>
      </c>
      <c r="K50" s="158" t="s">
        <v>33</v>
      </c>
      <c r="L50" s="279">
        <v>5723337</v>
      </c>
      <c r="M50" s="158" t="s">
        <v>20</v>
      </c>
    </row>
    <row r="51" spans="2:13" ht="18" x14ac:dyDescent="0.3">
      <c r="B51" s="161">
        <v>43899</v>
      </c>
      <c r="C51" s="157" t="s">
        <v>775</v>
      </c>
      <c r="D51" s="158" t="s">
        <v>647</v>
      </c>
      <c r="E51" s="158" t="s">
        <v>507</v>
      </c>
      <c r="F51" s="161" t="s">
        <v>769</v>
      </c>
      <c r="G51" s="161" t="s">
        <v>116</v>
      </c>
      <c r="H51" s="158" t="s">
        <v>35</v>
      </c>
      <c r="I51" s="158" t="s">
        <v>97</v>
      </c>
      <c r="J51" s="161" t="s">
        <v>770</v>
      </c>
      <c r="K51" s="158" t="s">
        <v>33</v>
      </c>
      <c r="L51" s="279">
        <v>5723337</v>
      </c>
      <c r="M51" s="158" t="s">
        <v>20</v>
      </c>
    </row>
    <row r="52" spans="2:13" ht="18" x14ac:dyDescent="0.3">
      <c r="B52" s="161">
        <v>43899</v>
      </c>
      <c r="C52" s="157" t="s">
        <v>776</v>
      </c>
      <c r="D52" s="158" t="s">
        <v>647</v>
      </c>
      <c r="E52" s="158" t="s">
        <v>507</v>
      </c>
      <c r="F52" s="161" t="s">
        <v>769</v>
      </c>
      <c r="G52" s="161" t="s">
        <v>116</v>
      </c>
      <c r="H52" s="158" t="s">
        <v>35</v>
      </c>
      <c r="I52" s="158" t="s">
        <v>97</v>
      </c>
      <c r="J52" s="161" t="s">
        <v>770</v>
      </c>
      <c r="K52" s="158" t="s">
        <v>33</v>
      </c>
      <c r="L52" s="279">
        <v>5580629</v>
      </c>
      <c r="M52" s="158" t="s">
        <v>20</v>
      </c>
    </row>
    <row r="53" spans="2:13" ht="18" x14ac:dyDescent="0.3">
      <c r="B53" s="161">
        <v>43899</v>
      </c>
      <c r="C53" s="157" t="s">
        <v>777</v>
      </c>
      <c r="D53" s="158" t="s">
        <v>647</v>
      </c>
      <c r="E53" s="158" t="s">
        <v>507</v>
      </c>
      <c r="F53" s="161" t="s">
        <v>769</v>
      </c>
      <c r="G53" s="161" t="s">
        <v>116</v>
      </c>
      <c r="H53" s="158" t="s">
        <v>35</v>
      </c>
      <c r="I53" s="158" t="s">
        <v>97</v>
      </c>
      <c r="J53" s="161" t="s">
        <v>770</v>
      </c>
      <c r="K53" s="158" t="s">
        <v>33</v>
      </c>
      <c r="L53" s="279">
        <v>5723337</v>
      </c>
      <c r="M53" s="158" t="s">
        <v>20</v>
      </c>
    </row>
    <row r="54" spans="2:13" ht="18" x14ac:dyDescent="0.3">
      <c r="B54" s="161">
        <v>43892</v>
      </c>
      <c r="C54" s="157" t="s">
        <v>790</v>
      </c>
      <c r="D54" s="158" t="s">
        <v>36</v>
      </c>
      <c r="E54" s="158" t="s">
        <v>434</v>
      </c>
      <c r="F54" s="161" t="s">
        <v>679</v>
      </c>
      <c r="G54" s="161" t="s">
        <v>301</v>
      </c>
      <c r="H54" s="158" t="s">
        <v>402</v>
      </c>
      <c r="I54" s="158" t="s">
        <v>97</v>
      </c>
      <c r="J54" s="161" t="s">
        <v>791</v>
      </c>
      <c r="K54" s="158" t="s">
        <v>33</v>
      </c>
      <c r="L54" s="279">
        <v>9833543</v>
      </c>
      <c r="M54" s="158" t="s">
        <v>19</v>
      </c>
    </row>
    <row r="55" spans="2:13" ht="18" x14ac:dyDescent="0.3">
      <c r="B55" s="161">
        <v>43895</v>
      </c>
      <c r="C55" s="157" t="s">
        <v>798</v>
      </c>
      <c r="D55" s="158" t="s">
        <v>36</v>
      </c>
      <c r="E55" s="158" t="s">
        <v>438</v>
      </c>
      <c r="F55" s="161" t="s">
        <v>274</v>
      </c>
      <c r="G55" s="161" t="s">
        <v>301</v>
      </c>
      <c r="H55" s="158" t="s">
        <v>799</v>
      </c>
      <c r="I55" s="158" t="s">
        <v>800</v>
      </c>
      <c r="J55" s="161">
        <v>43896</v>
      </c>
      <c r="K55" s="158" t="s">
        <v>322</v>
      </c>
      <c r="L55" s="279">
        <v>6402570</v>
      </c>
      <c r="M55" s="158" t="s">
        <v>19</v>
      </c>
    </row>
    <row r="56" spans="2:13" ht="18" x14ac:dyDescent="0.3">
      <c r="B56" s="161">
        <v>43899</v>
      </c>
      <c r="C56" s="157" t="s">
        <v>802</v>
      </c>
      <c r="D56" s="158" t="s">
        <v>36</v>
      </c>
      <c r="E56" s="158" t="s">
        <v>438</v>
      </c>
      <c r="F56" s="161" t="s">
        <v>274</v>
      </c>
      <c r="G56" s="161" t="s">
        <v>301</v>
      </c>
      <c r="H56" s="158" t="s">
        <v>803</v>
      </c>
      <c r="I56" s="158" t="s">
        <v>62</v>
      </c>
      <c r="J56" s="161">
        <v>43896</v>
      </c>
      <c r="K56" s="158" t="s">
        <v>322</v>
      </c>
      <c r="L56" s="279">
        <v>1883662</v>
      </c>
      <c r="M56" s="158" t="s">
        <v>19</v>
      </c>
    </row>
    <row r="57" spans="2:13" ht="18" x14ac:dyDescent="0.3">
      <c r="B57" s="161">
        <v>43892</v>
      </c>
      <c r="C57" s="157" t="s">
        <v>630</v>
      </c>
      <c r="D57" s="158" t="s">
        <v>36</v>
      </c>
      <c r="E57" s="158" t="s">
        <v>121</v>
      </c>
      <c r="F57" s="161" t="s">
        <v>155</v>
      </c>
      <c r="G57" s="161" t="s">
        <v>743</v>
      </c>
      <c r="H57" s="158" t="s">
        <v>475</v>
      </c>
      <c r="I57" s="158" t="s">
        <v>51</v>
      </c>
      <c r="J57" s="161">
        <v>43890</v>
      </c>
      <c r="K57" s="158" t="s">
        <v>744</v>
      </c>
      <c r="L57" s="279">
        <v>990000</v>
      </c>
      <c r="M57" s="158" t="s">
        <v>20</v>
      </c>
    </row>
    <row r="58" spans="2:13" ht="18" x14ac:dyDescent="0.3">
      <c r="B58" s="161">
        <v>43892</v>
      </c>
      <c r="C58" s="157" t="s">
        <v>624</v>
      </c>
      <c r="D58" s="158" t="s">
        <v>36</v>
      </c>
      <c r="E58" s="158" t="s">
        <v>121</v>
      </c>
      <c r="F58" s="161" t="s">
        <v>155</v>
      </c>
      <c r="G58" s="161" t="s">
        <v>743</v>
      </c>
      <c r="H58" s="158" t="s">
        <v>745</v>
      </c>
      <c r="I58" s="158" t="s">
        <v>97</v>
      </c>
      <c r="J58" s="161" t="s">
        <v>746</v>
      </c>
      <c r="K58" s="158" t="s">
        <v>39</v>
      </c>
      <c r="L58" s="279">
        <v>1980000</v>
      </c>
      <c r="M58" s="158" t="s">
        <v>20</v>
      </c>
    </row>
    <row r="59" spans="2:13" ht="18" x14ac:dyDescent="0.3">
      <c r="B59" s="161">
        <v>43892</v>
      </c>
      <c r="C59" s="157" t="s">
        <v>624</v>
      </c>
      <c r="D59" s="158" t="s">
        <v>36</v>
      </c>
      <c r="E59" s="158" t="s">
        <v>121</v>
      </c>
      <c r="F59" s="161" t="s">
        <v>155</v>
      </c>
      <c r="G59" s="161" t="s">
        <v>614</v>
      </c>
      <c r="H59" s="158" t="s">
        <v>747</v>
      </c>
      <c r="I59" s="158" t="s">
        <v>97</v>
      </c>
      <c r="J59" s="161">
        <v>43894</v>
      </c>
      <c r="K59" s="158" t="s">
        <v>39</v>
      </c>
      <c r="L59" s="279">
        <v>4266201</v>
      </c>
      <c r="M59" s="158" t="s">
        <v>20</v>
      </c>
    </row>
    <row r="60" spans="2:13" ht="18" x14ac:dyDescent="0.3">
      <c r="B60" s="161">
        <v>43894</v>
      </c>
      <c r="C60" s="157" t="s">
        <v>616</v>
      </c>
      <c r="D60" s="158" t="s">
        <v>36</v>
      </c>
      <c r="E60" s="158" t="s">
        <v>218</v>
      </c>
      <c r="F60" s="161" t="s">
        <v>751</v>
      </c>
      <c r="G60" s="161" t="s">
        <v>752</v>
      </c>
      <c r="H60" s="158" t="s">
        <v>753</v>
      </c>
      <c r="I60" s="158" t="s">
        <v>48</v>
      </c>
      <c r="J60" s="161">
        <v>44050</v>
      </c>
      <c r="K60" s="158" t="s">
        <v>33</v>
      </c>
      <c r="L60" s="279">
        <v>524451</v>
      </c>
      <c r="M60" s="158" t="s">
        <v>20</v>
      </c>
    </row>
    <row r="61" spans="2:13" ht="18" x14ac:dyDescent="0.3">
      <c r="B61" s="161">
        <v>43894</v>
      </c>
      <c r="C61" s="157" t="s">
        <v>754</v>
      </c>
      <c r="D61" s="158" t="s">
        <v>36</v>
      </c>
      <c r="E61" s="158" t="s">
        <v>218</v>
      </c>
      <c r="F61" s="161" t="s">
        <v>751</v>
      </c>
      <c r="G61" s="161" t="s">
        <v>752</v>
      </c>
      <c r="H61" s="158" t="s">
        <v>753</v>
      </c>
      <c r="I61" s="158" t="s">
        <v>48</v>
      </c>
      <c r="J61" s="161">
        <v>44050</v>
      </c>
      <c r="K61" s="158" t="s">
        <v>33</v>
      </c>
      <c r="L61" s="279">
        <v>524451</v>
      </c>
      <c r="M61" s="158" t="s">
        <v>20</v>
      </c>
    </row>
    <row r="62" spans="2:13" ht="18" x14ac:dyDescent="0.3">
      <c r="B62" s="161">
        <v>43894</v>
      </c>
      <c r="C62" s="157" t="s">
        <v>602</v>
      </c>
      <c r="D62" s="158" t="s">
        <v>36</v>
      </c>
      <c r="E62" s="158" t="s">
        <v>755</v>
      </c>
      <c r="F62" s="161" t="s">
        <v>535</v>
      </c>
      <c r="G62" s="161" t="s">
        <v>116</v>
      </c>
      <c r="H62" s="158" t="s">
        <v>756</v>
      </c>
      <c r="I62" s="158" t="s">
        <v>85</v>
      </c>
      <c r="J62" s="161">
        <v>43895</v>
      </c>
      <c r="K62" s="158" t="s">
        <v>180</v>
      </c>
      <c r="L62" s="279">
        <v>1107399</v>
      </c>
      <c r="M62" s="158" t="s">
        <v>19</v>
      </c>
    </row>
    <row r="63" spans="2:13" ht="18" x14ac:dyDescent="0.3">
      <c r="B63" s="161">
        <v>43894</v>
      </c>
      <c r="C63" s="157" t="s">
        <v>757</v>
      </c>
      <c r="D63" s="158" t="s">
        <v>36</v>
      </c>
      <c r="E63" s="158" t="s">
        <v>755</v>
      </c>
      <c r="F63" s="161" t="s">
        <v>535</v>
      </c>
      <c r="G63" s="161" t="s">
        <v>116</v>
      </c>
      <c r="H63" s="158" t="s">
        <v>756</v>
      </c>
      <c r="I63" s="158" t="s">
        <v>85</v>
      </c>
      <c r="J63" s="161">
        <v>43895</v>
      </c>
      <c r="K63" s="158" t="s">
        <v>180</v>
      </c>
      <c r="L63" s="279">
        <v>1107399</v>
      </c>
      <c r="M63" s="158" t="s">
        <v>19</v>
      </c>
    </row>
    <row r="64" spans="2:13" ht="18" x14ac:dyDescent="0.3">
      <c r="B64" s="161">
        <v>43894</v>
      </c>
      <c r="C64" s="157" t="s">
        <v>540</v>
      </c>
      <c r="D64" s="158" t="s">
        <v>36</v>
      </c>
      <c r="E64" s="158" t="s">
        <v>755</v>
      </c>
      <c r="F64" s="161" t="s">
        <v>535</v>
      </c>
      <c r="G64" s="161" t="s">
        <v>116</v>
      </c>
      <c r="H64" s="158" t="s">
        <v>756</v>
      </c>
      <c r="I64" s="158" t="s">
        <v>85</v>
      </c>
      <c r="J64" s="161">
        <v>43895</v>
      </c>
      <c r="K64" s="158" t="s">
        <v>180</v>
      </c>
      <c r="L64" s="279">
        <v>1107399</v>
      </c>
      <c r="M64" s="158" t="s">
        <v>19</v>
      </c>
    </row>
    <row r="65" spans="2:13" ht="18" x14ac:dyDescent="0.3">
      <c r="B65" s="161">
        <v>43894</v>
      </c>
      <c r="C65" s="157" t="s">
        <v>602</v>
      </c>
      <c r="D65" s="158" t="s">
        <v>36</v>
      </c>
      <c r="E65" s="158" t="s">
        <v>755</v>
      </c>
      <c r="F65" s="161" t="s">
        <v>535</v>
      </c>
      <c r="G65" s="161" t="s">
        <v>116</v>
      </c>
      <c r="H65" s="158" t="s">
        <v>151</v>
      </c>
      <c r="I65" s="158" t="s">
        <v>85</v>
      </c>
      <c r="J65" s="161">
        <v>43897</v>
      </c>
      <c r="K65" s="158" t="s">
        <v>33</v>
      </c>
      <c r="L65" s="279">
        <v>1258996</v>
      </c>
      <c r="M65" s="158" t="s">
        <v>19</v>
      </c>
    </row>
    <row r="66" spans="2:13" ht="18" x14ac:dyDescent="0.3">
      <c r="B66" s="161">
        <v>43894</v>
      </c>
      <c r="C66" s="157" t="s">
        <v>757</v>
      </c>
      <c r="D66" s="158" t="s">
        <v>36</v>
      </c>
      <c r="E66" s="158" t="s">
        <v>755</v>
      </c>
      <c r="F66" s="161" t="s">
        <v>535</v>
      </c>
      <c r="G66" s="161" t="s">
        <v>116</v>
      </c>
      <c r="H66" s="158" t="s">
        <v>151</v>
      </c>
      <c r="I66" s="158" t="s">
        <v>85</v>
      </c>
      <c r="J66" s="161">
        <v>43897</v>
      </c>
      <c r="K66" s="158" t="s">
        <v>33</v>
      </c>
      <c r="L66" s="279">
        <v>1258996</v>
      </c>
      <c r="M66" s="158" t="s">
        <v>19</v>
      </c>
    </row>
    <row r="67" spans="2:13" ht="18" x14ac:dyDescent="0.3">
      <c r="B67" s="161">
        <v>43894</v>
      </c>
      <c r="C67" s="157" t="s">
        <v>540</v>
      </c>
      <c r="D67" s="158" t="s">
        <v>36</v>
      </c>
      <c r="E67" s="158" t="s">
        <v>755</v>
      </c>
      <c r="F67" s="161" t="s">
        <v>535</v>
      </c>
      <c r="G67" s="161" t="s">
        <v>116</v>
      </c>
      <c r="H67" s="158" t="s">
        <v>151</v>
      </c>
      <c r="I67" s="158" t="s">
        <v>85</v>
      </c>
      <c r="J67" s="161">
        <v>43897</v>
      </c>
      <c r="K67" s="158" t="s">
        <v>33</v>
      </c>
      <c r="L67" s="279">
        <v>1258996</v>
      </c>
      <c r="M67" s="158" t="s">
        <v>19</v>
      </c>
    </row>
    <row r="68" spans="2:13" ht="18" x14ac:dyDescent="0.3">
      <c r="B68" s="161">
        <v>43900</v>
      </c>
      <c r="C68" s="157" t="s">
        <v>778</v>
      </c>
      <c r="D68" s="158" t="s">
        <v>36</v>
      </c>
      <c r="E68" s="158" t="s">
        <v>218</v>
      </c>
      <c r="F68" s="161" t="s">
        <v>182</v>
      </c>
      <c r="G68" s="161" t="s">
        <v>116</v>
      </c>
      <c r="H68" s="158" t="s">
        <v>37</v>
      </c>
      <c r="I68" s="158" t="s">
        <v>97</v>
      </c>
      <c r="J68" s="161" t="s">
        <v>779</v>
      </c>
      <c r="K68" s="158" t="s">
        <v>33</v>
      </c>
      <c r="L68" s="279">
        <v>4059247</v>
      </c>
      <c r="M68" s="158" t="s">
        <v>20</v>
      </c>
    </row>
    <row r="69" spans="2:13" ht="18" x14ac:dyDescent="0.3">
      <c r="B69" s="161">
        <v>43900</v>
      </c>
      <c r="C69" s="157" t="s">
        <v>780</v>
      </c>
      <c r="D69" s="158" t="s">
        <v>36</v>
      </c>
      <c r="E69" s="158" t="s">
        <v>218</v>
      </c>
      <c r="F69" s="161" t="s">
        <v>182</v>
      </c>
      <c r="G69" s="161" t="s">
        <v>116</v>
      </c>
      <c r="H69" s="158" t="s">
        <v>37</v>
      </c>
      <c r="I69" s="158" t="s">
        <v>97</v>
      </c>
      <c r="J69" s="161" t="s">
        <v>779</v>
      </c>
      <c r="K69" s="158" t="s">
        <v>33</v>
      </c>
      <c r="L69" s="279">
        <v>4059247</v>
      </c>
      <c r="M69" s="158" t="s">
        <v>20</v>
      </c>
    </row>
    <row r="70" spans="2:13" ht="18" x14ac:dyDescent="0.3">
      <c r="B70" s="161">
        <v>43900</v>
      </c>
      <c r="C70" s="157" t="s">
        <v>136</v>
      </c>
      <c r="D70" s="158" t="s">
        <v>36</v>
      </c>
      <c r="E70" s="158" t="s">
        <v>131</v>
      </c>
      <c r="F70" s="161" t="s">
        <v>132</v>
      </c>
      <c r="G70" s="161" t="s">
        <v>116</v>
      </c>
      <c r="H70" s="158" t="s">
        <v>781</v>
      </c>
      <c r="I70" s="158" t="s">
        <v>81</v>
      </c>
      <c r="J70" s="161" t="s">
        <v>782</v>
      </c>
      <c r="K70" s="158" t="s">
        <v>33</v>
      </c>
      <c r="L70" s="279">
        <v>1132813</v>
      </c>
      <c r="M70" s="158" t="s">
        <v>20</v>
      </c>
    </row>
    <row r="71" spans="2:13" ht="18" x14ac:dyDescent="0.3">
      <c r="B71" s="161">
        <v>43900</v>
      </c>
      <c r="C71" s="157" t="s">
        <v>455</v>
      </c>
      <c r="D71" s="158" t="s">
        <v>36</v>
      </c>
      <c r="E71" s="158" t="s">
        <v>131</v>
      </c>
      <c r="F71" s="161" t="s">
        <v>132</v>
      </c>
      <c r="G71" s="161" t="s">
        <v>116</v>
      </c>
      <c r="H71" s="158" t="s">
        <v>781</v>
      </c>
      <c r="I71" s="158" t="s">
        <v>81</v>
      </c>
      <c r="J71" s="161" t="s">
        <v>782</v>
      </c>
      <c r="K71" s="158" t="s">
        <v>33</v>
      </c>
      <c r="L71" s="279">
        <v>1132813</v>
      </c>
      <c r="M71" s="158" t="s">
        <v>20</v>
      </c>
    </row>
    <row r="72" spans="2:13" ht="18" x14ac:dyDescent="0.3">
      <c r="B72" s="161">
        <v>43900</v>
      </c>
      <c r="C72" s="157" t="s">
        <v>783</v>
      </c>
      <c r="D72" s="158" t="s">
        <v>36</v>
      </c>
      <c r="E72" s="158" t="s">
        <v>131</v>
      </c>
      <c r="F72" s="161" t="s">
        <v>132</v>
      </c>
      <c r="G72" s="161" t="s">
        <v>116</v>
      </c>
      <c r="H72" s="158" t="s">
        <v>781</v>
      </c>
      <c r="I72" s="158" t="s">
        <v>81</v>
      </c>
      <c r="J72" s="161" t="s">
        <v>782</v>
      </c>
      <c r="K72" s="158" t="s">
        <v>33</v>
      </c>
      <c r="L72" s="279">
        <v>1132813</v>
      </c>
      <c r="M72" s="158" t="s">
        <v>20</v>
      </c>
    </row>
    <row r="73" spans="2:13" ht="18" x14ac:dyDescent="0.3">
      <c r="B73" s="161">
        <v>43902</v>
      </c>
      <c r="C73" s="157" t="s">
        <v>784</v>
      </c>
      <c r="D73" s="158" t="s">
        <v>36</v>
      </c>
      <c r="E73" s="158" t="s">
        <v>432</v>
      </c>
      <c r="F73" s="161" t="s">
        <v>535</v>
      </c>
      <c r="G73" s="161" t="s">
        <v>116</v>
      </c>
      <c r="H73" s="158" t="s">
        <v>785</v>
      </c>
      <c r="I73" s="158" t="s">
        <v>81</v>
      </c>
      <c r="J73" s="161">
        <v>43902</v>
      </c>
      <c r="K73" s="158" t="s">
        <v>33</v>
      </c>
      <c r="L73" s="279">
        <v>546789</v>
      </c>
      <c r="M73" s="158" t="s">
        <v>19</v>
      </c>
    </row>
    <row r="74" spans="2:13" ht="18" x14ac:dyDescent="0.3">
      <c r="B74" s="161">
        <v>43902</v>
      </c>
      <c r="C74" s="157" t="s">
        <v>786</v>
      </c>
      <c r="D74" s="158" t="s">
        <v>36</v>
      </c>
      <c r="E74" s="158" t="s">
        <v>432</v>
      </c>
      <c r="F74" s="161" t="s">
        <v>535</v>
      </c>
      <c r="G74" s="161" t="s">
        <v>116</v>
      </c>
      <c r="H74" s="158" t="s">
        <v>785</v>
      </c>
      <c r="I74" s="158" t="s">
        <v>81</v>
      </c>
      <c r="J74" s="161">
        <v>43902</v>
      </c>
      <c r="K74" s="158" t="s">
        <v>33</v>
      </c>
      <c r="L74" s="279">
        <v>546789</v>
      </c>
      <c r="M74" s="158" t="s">
        <v>19</v>
      </c>
    </row>
    <row r="75" spans="2:13" ht="21" x14ac:dyDescent="0.3">
      <c r="L75" s="294">
        <f>SUBTOTAL(9,L5:L74)</f>
        <v>312275641</v>
      </c>
    </row>
  </sheetData>
  <autoFilter ref="B4:M74">
    <sortState ref="B5:M74">
      <sortCondition ref="D4:D74"/>
    </sortState>
  </autoFilter>
  <printOptions horizontalCentered="1"/>
  <pageMargins left="0.7" right="0.7" top="0.75" bottom="0.75" header="0.3" footer="0.3"/>
  <pageSetup paperSize="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 tint="0.59999389629810485"/>
    <pageSetUpPr autoPageBreaks="0" fitToPage="1"/>
  </sheetPr>
  <dimension ref="A4:M25"/>
  <sheetViews>
    <sheetView showGridLines="0" zoomScale="70" zoomScaleNormal="70" workbookViewId="0">
      <selection activeCell="B4" sqref="B4"/>
    </sheetView>
  </sheetViews>
  <sheetFormatPr defaultColWidth="9.109375" defaultRowHeight="30" customHeight="1" x14ac:dyDescent="0.3"/>
  <cols>
    <col min="1" max="1" width="9.109375" style="136"/>
    <col min="2" max="2" width="14.33203125" style="159" bestFit="1" customWidth="1"/>
    <col min="3" max="3" width="31" style="135" bestFit="1" customWidth="1"/>
    <col min="4" max="4" width="14.44140625" style="134" bestFit="1" customWidth="1"/>
    <col min="5" max="5" width="23.44140625" style="134" bestFit="1" customWidth="1"/>
    <col min="6" max="6" width="27.6640625" style="159" bestFit="1" customWidth="1"/>
    <col min="7" max="7" width="33.44140625" style="159" bestFit="1" customWidth="1"/>
    <col min="8" max="8" width="11" style="134" bestFit="1" customWidth="1"/>
    <col min="9" max="9" width="13.109375" style="134" customWidth="1"/>
    <col min="10" max="10" width="14.33203125" style="159" bestFit="1" customWidth="1"/>
    <col min="11" max="11" width="11.5546875" style="134" customWidth="1"/>
    <col min="12" max="12" width="19.5546875" style="280" bestFit="1" customWidth="1"/>
    <col min="13" max="13" width="14.33203125" style="159" bestFit="1" customWidth="1"/>
    <col min="14" max="16384" width="9.109375" style="134"/>
  </cols>
  <sheetData>
    <row r="4" spans="2:13" ht="16.2" x14ac:dyDescent="0.3">
      <c r="B4" s="160"/>
      <c r="C4" s="291"/>
      <c r="D4" s="291"/>
      <c r="E4" s="291"/>
      <c r="F4" s="292"/>
      <c r="G4" s="292"/>
      <c r="H4" s="291"/>
      <c r="I4" s="291"/>
      <c r="J4" s="291"/>
      <c r="K4" s="291"/>
      <c r="L4" s="291"/>
      <c r="M4" s="291"/>
    </row>
    <row r="5" spans="2:13" ht="18" x14ac:dyDescent="0.3">
      <c r="B5" s="161">
        <v>43942</v>
      </c>
      <c r="C5" s="157" t="s">
        <v>824</v>
      </c>
      <c r="D5" s="158" t="s">
        <v>31</v>
      </c>
      <c r="E5" s="158" t="s">
        <v>445</v>
      </c>
      <c r="F5" s="161" t="s">
        <v>825</v>
      </c>
      <c r="G5" s="161" t="s">
        <v>826</v>
      </c>
      <c r="H5" s="158" t="s">
        <v>827</v>
      </c>
      <c r="I5" s="158" t="s">
        <v>97</v>
      </c>
      <c r="J5" s="161">
        <v>43944</v>
      </c>
      <c r="K5" s="158" t="s">
        <v>39</v>
      </c>
      <c r="L5" s="279">
        <v>4998000</v>
      </c>
      <c r="M5" s="161" t="s">
        <v>828</v>
      </c>
    </row>
    <row r="6" spans="2:13" ht="18" x14ac:dyDescent="0.3">
      <c r="B6" s="161">
        <v>43942</v>
      </c>
      <c r="C6" s="157" t="s">
        <v>829</v>
      </c>
      <c r="D6" s="158" t="s">
        <v>31</v>
      </c>
      <c r="E6" s="158" t="s">
        <v>445</v>
      </c>
      <c r="F6" s="161" t="s">
        <v>825</v>
      </c>
      <c r="G6" s="161" t="s">
        <v>826</v>
      </c>
      <c r="H6" s="158" t="s">
        <v>827</v>
      </c>
      <c r="I6" s="158" t="s">
        <v>97</v>
      </c>
      <c r="J6" s="161">
        <v>43944</v>
      </c>
      <c r="K6" s="158" t="s">
        <v>39</v>
      </c>
      <c r="L6" s="279">
        <v>4998000</v>
      </c>
      <c r="M6" s="161" t="s">
        <v>828</v>
      </c>
    </row>
    <row r="7" spans="2:13" ht="18" x14ac:dyDescent="0.3">
      <c r="B7" s="161">
        <v>43942</v>
      </c>
      <c r="C7" s="157" t="s">
        <v>830</v>
      </c>
      <c r="D7" s="158" t="s">
        <v>31</v>
      </c>
      <c r="E7" s="158" t="s">
        <v>445</v>
      </c>
      <c r="F7" s="161" t="s">
        <v>825</v>
      </c>
      <c r="G7" s="161" t="s">
        <v>826</v>
      </c>
      <c r="H7" s="158" t="s">
        <v>827</v>
      </c>
      <c r="I7" s="158" t="s">
        <v>97</v>
      </c>
      <c r="J7" s="161">
        <v>43944</v>
      </c>
      <c r="K7" s="158" t="s">
        <v>39</v>
      </c>
      <c r="L7" s="279">
        <v>4998000</v>
      </c>
      <c r="M7" s="161" t="s">
        <v>828</v>
      </c>
    </row>
    <row r="8" spans="2:13" ht="18" x14ac:dyDescent="0.3">
      <c r="B8" s="161">
        <v>43942</v>
      </c>
      <c r="C8" s="157" t="s">
        <v>762</v>
      </c>
      <c r="D8" s="158" t="s">
        <v>31</v>
      </c>
      <c r="E8" s="158" t="s">
        <v>445</v>
      </c>
      <c r="F8" s="161" t="s">
        <v>825</v>
      </c>
      <c r="G8" s="161" t="s">
        <v>826</v>
      </c>
      <c r="H8" s="158" t="s">
        <v>827</v>
      </c>
      <c r="I8" s="158" t="s">
        <v>97</v>
      </c>
      <c r="J8" s="161">
        <v>43944</v>
      </c>
      <c r="K8" s="158" t="s">
        <v>39</v>
      </c>
      <c r="L8" s="279">
        <v>4998000</v>
      </c>
      <c r="M8" s="161" t="s">
        <v>828</v>
      </c>
    </row>
    <row r="9" spans="2:13" ht="18" x14ac:dyDescent="0.3">
      <c r="B9" s="161">
        <v>43942</v>
      </c>
      <c r="C9" s="157" t="s">
        <v>506</v>
      </c>
      <c r="D9" s="158" t="s">
        <v>31</v>
      </c>
      <c r="E9" s="158" t="s">
        <v>507</v>
      </c>
      <c r="F9" s="161" t="s">
        <v>269</v>
      </c>
      <c r="G9" s="161" t="s">
        <v>831</v>
      </c>
      <c r="H9" s="158" t="s">
        <v>608</v>
      </c>
      <c r="I9" s="158" t="s">
        <v>85</v>
      </c>
      <c r="J9" s="161">
        <v>43873</v>
      </c>
      <c r="K9" s="158" t="s">
        <v>33</v>
      </c>
      <c r="L9" s="279">
        <v>42338</v>
      </c>
      <c r="M9" s="161" t="s">
        <v>828</v>
      </c>
    </row>
    <row r="10" spans="2:13" ht="18" x14ac:dyDescent="0.3">
      <c r="B10" s="161">
        <v>43942</v>
      </c>
      <c r="C10" s="157" t="s">
        <v>650</v>
      </c>
      <c r="D10" s="158" t="s">
        <v>647</v>
      </c>
      <c r="E10" s="158" t="s">
        <v>351</v>
      </c>
      <c r="F10" s="161" t="s">
        <v>388</v>
      </c>
      <c r="G10" s="161" t="s">
        <v>304</v>
      </c>
      <c r="H10" s="158" t="s">
        <v>38</v>
      </c>
      <c r="I10" s="158" t="s">
        <v>97</v>
      </c>
      <c r="J10" s="161">
        <v>43944</v>
      </c>
      <c r="K10" s="158" t="s">
        <v>39</v>
      </c>
      <c r="L10" s="279">
        <v>4998000</v>
      </c>
      <c r="M10" s="161" t="s">
        <v>828</v>
      </c>
    </row>
    <row r="11" spans="2:13" ht="18" x14ac:dyDescent="0.3">
      <c r="B11" s="161">
        <v>43942</v>
      </c>
      <c r="C11" s="157" t="s">
        <v>832</v>
      </c>
      <c r="D11" s="158" t="s">
        <v>647</v>
      </c>
      <c r="E11" s="158" t="s">
        <v>351</v>
      </c>
      <c r="F11" s="161" t="s">
        <v>388</v>
      </c>
      <c r="G11" s="161" t="s">
        <v>304</v>
      </c>
      <c r="H11" s="158" t="s">
        <v>38</v>
      </c>
      <c r="I11" s="158" t="s">
        <v>97</v>
      </c>
      <c r="J11" s="161">
        <v>43944</v>
      </c>
      <c r="K11" s="158" t="s">
        <v>39</v>
      </c>
      <c r="L11" s="279">
        <v>4998000</v>
      </c>
      <c r="M11" s="161" t="s">
        <v>828</v>
      </c>
    </row>
    <row r="12" spans="2:13" ht="18" x14ac:dyDescent="0.3">
      <c r="B12" s="161">
        <v>43942</v>
      </c>
      <c r="C12" s="157" t="s">
        <v>833</v>
      </c>
      <c r="D12" s="158" t="s">
        <v>647</v>
      </c>
      <c r="E12" s="158" t="s">
        <v>351</v>
      </c>
      <c r="F12" s="161" t="s">
        <v>388</v>
      </c>
      <c r="G12" s="161" t="s">
        <v>304</v>
      </c>
      <c r="H12" s="158" t="s">
        <v>38</v>
      </c>
      <c r="I12" s="158" t="s">
        <v>97</v>
      </c>
      <c r="J12" s="161">
        <v>43944</v>
      </c>
      <c r="K12" s="158" t="s">
        <v>39</v>
      </c>
      <c r="L12" s="279">
        <v>4998000</v>
      </c>
      <c r="M12" s="161" t="s">
        <v>828</v>
      </c>
    </row>
    <row r="13" spans="2:13" ht="18" x14ac:dyDescent="0.3">
      <c r="B13" s="161">
        <v>43942</v>
      </c>
      <c r="C13" s="157" t="s">
        <v>834</v>
      </c>
      <c r="D13" s="158" t="s">
        <v>647</v>
      </c>
      <c r="E13" s="158" t="s">
        <v>351</v>
      </c>
      <c r="F13" s="161" t="s">
        <v>388</v>
      </c>
      <c r="G13" s="161" t="s">
        <v>304</v>
      </c>
      <c r="H13" s="158" t="s">
        <v>38</v>
      </c>
      <c r="I13" s="158" t="s">
        <v>97</v>
      </c>
      <c r="J13" s="161">
        <v>43944</v>
      </c>
      <c r="K13" s="158" t="s">
        <v>39</v>
      </c>
      <c r="L13" s="279">
        <v>4998000</v>
      </c>
      <c r="M13" s="161" t="s">
        <v>828</v>
      </c>
    </row>
    <row r="14" spans="2:13" ht="18" x14ac:dyDescent="0.3">
      <c r="B14" s="161">
        <v>43942</v>
      </c>
      <c r="C14" s="157" t="s">
        <v>835</v>
      </c>
      <c r="D14" s="158" t="s">
        <v>647</v>
      </c>
      <c r="E14" s="158" t="s">
        <v>351</v>
      </c>
      <c r="F14" s="161" t="s">
        <v>388</v>
      </c>
      <c r="G14" s="161" t="s">
        <v>304</v>
      </c>
      <c r="H14" s="158" t="s">
        <v>38</v>
      </c>
      <c r="I14" s="158" t="s">
        <v>97</v>
      </c>
      <c r="J14" s="161">
        <v>43944</v>
      </c>
      <c r="K14" s="158" t="s">
        <v>39</v>
      </c>
      <c r="L14" s="279">
        <v>4998000</v>
      </c>
      <c r="M14" s="161" t="s">
        <v>828</v>
      </c>
    </row>
    <row r="15" spans="2:13" ht="18" x14ac:dyDescent="0.3">
      <c r="B15" s="161">
        <v>43942</v>
      </c>
      <c r="C15" s="157" t="s">
        <v>836</v>
      </c>
      <c r="D15" s="158" t="s">
        <v>647</v>
      </c>
      <c r="E15" s="158" t="s">
        <v>351</v>
      </c>
      <c r="F15" s="161" t="s">
        <v>388</v>
      </c>
      <c r="G15" s="161" t="s">
        <v>304</v>
      </c>
      <c r="H15" s="158" t="s">
        <v>38</v>
      </c>
      <c r="I15" s="158" t="s">
        <v>97</v>
      </c>
      <c r="J15" s="161">
        <v>43944</v>
      </c>
      <c r="K15" s="158" t="s">
        <v>39</v>
      </c>
      <c r="L15" s="279">
        <v>4998000</v>
      </c>
      <c r="M15" s="161" t="s">
        <v>828</v>
      </c>
    </row>
    <row r="16" spans="2:13" ht="18" x14ac:dyDescent="0.3">
      <c r="B16" s="161">
        <v>43942</v>
      </c>
      <c r="C16" s="157" t="s">
        <v>837</v>
      </c>
      <c r="D16" s="158" t="s">
        <v>647</v>
      </c>
      <c r="E16" s="158" t="s">
        <v>351</v>
      </c>
      <c r="F16" s="161" t="s">
        <v>388</v>
      </c>
      <c r="G16" s="161" t="s">
        <v>304</v>
      </c>
      <c r="H16" s="158" t="s">
        <v>38</v>
      </c>
      <c r="I16" s="158" t="s">
        <v>97</v>
      </c>
      <c r="J16" s="161">
        <v>43944</v>
      </c>
      <c r="K16" s="158" t="s">
        <v>39</v>
      </c>
      <c r="L16" s="279">
        <v>4998000</v>
      </c>
      <c r="M16" s="161" t="s">
        <v>828</v>
      </c>
    </row>
    <row r="17" spans="2:13" ht="18" x14ac:dyDescent="0.3">
      <c r="B17" s="161">
        <v>43942</v>
      </c>
      <c r="C17" s="157" t="s">
        <v>838</v>
      </c>
      <c r="D17" s="158" t="s">
        <v>647</v>
      </c>
      <c r="E17" s="158" t="s">
        <v>351</v>
      </c>
      <c r="F17" s="161" t="s">
        <v>388</v>
      </c>
      <c r="G17" s="161" t="s">
        <v>304</v>
      </c>
      <c r="H17" s="158" t="s">
        <v>38</v>
      </c>
      <c r="I17" s="158" t="s">
        <v>97</v>
      </c>
      <c r="J17" s="161">
        <v>43944</v>
      </c>
      <c r="K17" s="158" t="s">
        <v>39</v>
      </c>
      <c r="L17" s="279">
        <v>4998000</v>
      </c>
      <c r="M17" s="161" t="s">
        <v>828</v>
      </c>
    </row>
    <row r="18" spans="2:13" ht="18" x14ac:dyDescent="0.3">
      <c r="B18" s="161">
        <v>43942</v>
      </c>
      <c r="C18" s="157" t="s">
        <v>839</v>
      </c>
      <c r="D18" s="158" t="s">
        <v>647</v>
      </c>
      <c r="E18" s="158" t="s">
        <v>351</v>
      </c>
      <c r="F18" s="161" t="s">
        <v>388</v>
      </c>
      <c r="G18" s="161" t="s">
        <v>304</v>
      </c>
      <c r="H18" s="158" t="s">
        <v>38</v>
      </c>
      <c r="I18" s="158" t="s">
        <v>97</v>
      </c>
      <c r="J18" s="161">
        <v>43944</v>
      </c>
      <c r="K18" s="158" t="s">
        <v>39</v>
      </c>
      <c r="L18" s="279">
        <v>4998000</v>
      </c>
      <c r="M18" s="161" t="s">
        <v>828</v>
      </c>
    </row>
    <row r="19" spans="2:13" ht="18" x14ac:dyDescent="0.3">
      <c r="B19" s="161">
        <v>43942</v>
      </c>
      <c r="C19" s="157" t="s">
        <v>840</v>
      </c>
      <c r="D19" s="158" t="s">
        <v>647</v>
      </c>
      <c r="E19" s="158" t="s">
        <v>365</v>
      </c>
      <c r="F19" s="161" t="s">
        <v>388</v>
      </c>
      <c r="G19" s="161" t="s">
        <v>304</v>
      </c>
      <c r="H19" s="158" t="s">
        <v>38</v>
      </c>
      <c r="I19" s="158" t="s">
        <v>97</v>
      </c>
      <c r="J19" s="161">
        <v>43944</v>
      </c>
      <c r="K19" s="158" t="s">
        <v>39</v>
      </c>
      <c r="L19" s="279">
        <v>4998000</v>
      </c>
      <c r="M19" s="161" t="s">
        <v>828</v>
      </c>
    </row>
    <row r="20" spans="2:13" ht="18" x14ac:dyDescent="0.3">
      <c r="B20" s="161">
        <v>43942</v>
      </c>
      <c r="C20" s="157" t="s">
        <v>841</v>
      </c>
      <c r="D20" s="158" t="s">
        <v>647</v>
      </c>
      <c r="E20" s="158" t="s">
        <v>365</v>
      </c>
      <c r="F20" s="161" t="s">
        <v>388</v>
      </c>
      <c r="G20" s="161" t="s">
        <v>304</v>
      </c>
      <c r="H20" s="158" t="s">
        <v>38</v>
      </c>
      <c r="I20" s="158" t="s">
        <v>97</v>
      </c>
      <c r="J20" s="161">
        <v>43944</v>
      </c>
      <c r="K20" s="158" t="s">
        <v>39</v>
      </c>
      <c r="L20" s="279">
        <v>4998000</v>
      </c>
      <c r="M20" s="161" t="s">
        <v>828</v>
      </c>
    </row>
    <row r="21" spans="2:13" ht="18" x14ac:dyDescent="0.3">
      <c r="B21" s="161">
        <v>43942</v>
      </c>
      <c r="C21" s="157" t="s">
        <v>842</v>
      </c>
      <c r="D21" s="158" t="s">
        <v>647</v>
      </c>
      <c r="E21" s="158" t="s">
        <v>351</v>
      </c>
      <c r="F21" s="161" t="s">
        <v>388</v>
      </c>
      <c r="G21" s="161" t="s">
        <v>304</v>
      </c>
      <c r="H21" s="158" t="s">
        <v>38</v>
      </c>
      <c r="I21" s="158" t="s">
        <v>97</v>
      </c>
      <c r="J21" s="161">
        <v>43944</v>
      </c>
      <c r="K21" s="158" t="s">
        <v>39</v>
      </c>
      <c r="L21" s="279">
        <v>4998000</v>
      </c>
      <c r="M21" s="161" t="s">
        <v>828</v>
      </c>
    </row>
    <row r="22" spans="2:13" ht="18" x14ac:dyDescent="0.3">
      <c r="B22" s="161">
        <v>43942</v>
      </c>
      <c r="C22" s="157" t="s">
        <v>843</v>
      </c>
      <c r="D22" s="158" t="s">
        <v>647</v>
      </c>
      <c r="E22" s="158" t="s">
        <v>351</v>
      </c>
      <c r="F22" s="161" t="s">
        <v>388</v>
      </c>
      <c r="G22" s="161" t="s">
        <v>304</v>
      </c>
      <c r="H22" s="158" t="s">
        <v>38</v>
      </c>
      <c r="I22" s="158" t="s">
        <v>97</v>
      </c>
      <c r="J22" s="161">
        <v>43944</v>
      </c>
      <c r="K22" s="158" t="s">
        <v>39</v>
      </c>
      <c r="L22" s="279">
        <v>4998000</v>
      </c>
      <c r="M22" s="161" t="s">
        <v>828</v>
      </c>
    </row>
    <row r="23" spans="2:13" ht="18" x14ac:dyDescent="0.3">
      <c r="B23" s="161">
        <v>43942</v>
      </c>
      <c r="C23" s="157" t="s">
        <v>652</v>
      </c>
      <c r="D23" s="158" t="s">
        <v>647</v>
      </c>
      <c r="E23" s="158" t="s">
        <v>351</v>
      </c>
      <c r="F23" s="161" t="s">
        <v>388</v>
      </c>
      <c r="G23" s="161" t="s">
        <v>304</v>
      </c>
      <c r="H23" s="158" t="s">
        <v>38</v>
      </c>
      <c r="I23" s="158" t="s">
        <v>97</v>
      </c>
      <c r="J23" s="161">
        <v>43944</v>
      </c>
      <c r="K23" s="158" t="s">
        <v>39</v>
      </c>
      <c r="L23" s="279">
        <v>4998000</v>
      </c>
      <c r="M23" s="161" t="s">
        <v>828</v>
      </c>
    </row>
    <row r="24" spans="2:13" ht="18" x14ac:dyDescent="0.3">
      <c r="B24" s="161">
        <v>43942</v>
      </c>
      <c r="C24" s="157" t="s">
        <v>844</v>
      </c>
      <c r="D24" s="158" t="s">
        <v>647</v>
      </c>
      <c r="E24" s="158" t="s">
        <v>351</v>
      </c>
      <c r="F24" s="161" t="s">
        <v>388</v>
      </c>
      <c r="G24" s="161" t="s">
        <v>304</v>
      </c>
      <c r="H24" s="158" t="s">
        <v>38</v>
      </c>
      <c r="I24" s="158" t="s">
        <v>97</v>
      </c>
      <c r="J24" s="161">
        <v>43944</v>
      </c>
      <c r="K24" s="158" t="s">
        <v>39</v>
      </c>
      <c r="L24" s="279">
        <v>4998000</v>
      </c>
      <c r="M24" s="161" t="s">
        <v>828</v>
      </c>
    </row>
    <row r="25" spans="2:13" ht="30" customHeight="1" x14ac:dyDescent="0.3">
      <c r="L25" s="296">
        <f>SUM(L5:L24)</f>
        <v>95004338</v>
      </c>
    </row>
  </sheetData>
  <autoFilter ref="B4:M4"/>
  <printOptions horizontalCentered="1"/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 tint="0.79998168889431442"/>
    <pageSetUpPr autoPageBreaks="0" fitToPage="1"/>
  </sheetPr>
  <dimension ref="B1:M33"/>
  <sheetViews>
    <sheetView showGridLines="0" topLeftCell="A4" zoomScale="70" zoomScaleNormal="70" workbookViewId="0">
      <selection activeCell="A7" sqref="A7:XFD7"/>
    </sheetView>
  </sheetViews>
  <sheetFormatPr defaultColWidth="9.33203125" defaultRowHeight="14.4" x14ac:dyDescent="0.3"/>
  <cols>
    <col min="1" max="1" width="9.33203125" style="40"/>
    <col min="2" max="2" width="13.109375" style="40" bestFit="1" customWidth="1"/>
    <col min="3" max="3" width="34.5546875" style="40" bestFit="1" customWidth="1"/>
    <col min="4" max="4" width="15.6640625" style="40" bestFit="1" customWidth="1"/>
    <col min="5" max="5" width="32.109375" style="40" bestFit="1" customWidth="1"/>
    <col min="6" max="6" width="33" style="40" bestFit="1" customWidth="1"/>
    <col min="7" max="7" width="38.88671875" style="40" bestFit="1" customWidth="1"/>
    <col min="8" max="8" width="21.5546875" style="40" bestFit="1" customWidth="1"/>
    <col min="9" max="9" width="16" style="40" bestFit="1" customWidth="1"/>
    <col min="10" max="10" width="23.44140625" style="44" bestFit="1" customWidth="1"/>
    <col min="11" max="11" width="12.33203125" style="40" bestFit="1" customWidth="1"/>
    <col min="12" max="12" width="30.5546875" style="40" bestFit="1" customWidth="1"/>
    <col min="13" max="13" width="18.88671875" style="40" bestFit="1" customWidth="1"/>
    <col min="14" max="16384" width="9.33203125" style="40"/>
  </cols>
  <sheetData>
    <row r="1" spans="2:13" x14ac:dyDescent="0.3">
      <c r="B1" s="299"/>
      <c r="C1" s="299"/>
      <c r="D1" s="299"/>
      <c r="E1" s="299"/>
      <c r="F1" s="299"/>
      <c r="G1" s="299"/>
      <c r="H1" s="299"/>
      <c r="I1" s="299"/>
      <c r="J1" s="38"/>
      <c r="K1" s="299"/>
      <c r="L1" s="299"/>
      <c r="M1" s="299"/>
    </row>
    <row r="2" spans="2:13" ht="16.2" x14ac:dyDescent="0.3">
      <c r="B2" s="198">
        <v>43977</v>
      </c>
      <c r="C2" s="229" t="s">
        <v>845</v>
      </c>
      <c r="D2" s="200" t="s">
        <v>31</v>
      </c>
      <c r="E2" s="198" t="s">
        <v>105</v>
      </c>
      <c r="F2" s="229" t="s">
        <v>846</v>
      </c>
      <c r="G2" s="200" t="s">
        <v>847</v>
      </c>
      <c r="H2" s="200" t="s">
        <v>32</v>
      </c>
      <c r="I2" s="201" t="s">
        <v>97</v>
      </c>
      <c r="J2" s="297">
        <v>43979</v>
      </c>
      <c r="K2" s="198" t="s">
        <v>33</v>
      </c>
      <c r="L2" s="298">
        <v>3505664</v>
      </c>
      <c r="M2" s="301" t="s">
        <v>19</v>
      </c>
    </row>
    <row r="3" spans="2:13" ht="16.2" x14ac:dyDescent="0.3">
      <c r="B3" s="198">
        <v>43977</v>
      </c>
      <c r="C3" s="229" t="s">
        <v>848</v>
      </c>
      <c r="D3" s="200" t="s">
        <v>31</v>
      </c>
      <c r="E3" s="198" t="s">
        <v>105</v>
      </c>
      <c r="F3" s="229" t="s">
        <v>846</v>
      </c>
      <c r="G3" s="200" t="s">
        <v>847</v>
      </c>
      <c r="H3" s="200" t="s">
        <v>32</v>
      </c>
      <c r="I3" s="201" t="s">
        <v>97</v>
      </c>
      <c r="J3" s="297">
        <v>43979</v>
      </c>
      <c r="K3" s="198" t="s">
        <v>33</v>
      </c>
      <c r="L3" s="298">
        <v>3505664</v>
      </c>
      <c r="M3" s="301" t="s">
        <v>19</v>
      </c>
    </row>
    <row r="4" spans="2:13" ht="16.2" x14ac:dyDescent="0.3">
      <c r="B4" s="198">
        <v>43977</v>
      </c>
      <c r="C4" s="229" t="s">
        <v>849</v>
      </c>
      <c r="D4" s="200" t="s">
        <v>31</v>
      </c>
      <c r="E4" s="198" t="s">
        <v>105</v>
      </c>
      <c r="F4" s="229" t="s">
        <v>846</v>
      </c>
      <c r="G4" s="200" t="s">
        <v>847</v>
      </c>
      <c r="H4" s="200" t="s">
        <v>32</v>
      </c>
      <c r="I4" s="201" t="s">
        <v>97</v>
      </c>
      <c r="J4" s="297">
        <v>43979</v>
      </c>
      <c r="K4" s="198" t="s">
        <v>33</v>
      </c>
      <c r="L4" s="298">
        <v>3505664</v>
      </c>
      <c r="M4" s="301" t="s">
        <v>19</v>
      </c>
    </row>
    <row r="5" spans="2:13" ht="16.2" x14ac:dyDescent="0.3">
      <c r="B5" s="198">
        <v>43977</v>
      </c>
      <c r="C5" s="229" t="s">
        <v>850</v>
      </c>
      <c r="D5" s="200" t="s">
        <v>31</v>
      </c>
      <c r="E5" s="198" t="s">
        <v>105</v>
      </c>
      <c r="F5" s="229" t="s">
        <v>846</v>
      </c>
      <c r="G5" s="200" t="s">
        <v>847</v>
      </c>
      <c r="H5" s="200" t="s">
        <v>32</v>
      </c>
      <c r="I5" s="201" t="s">
        <v>97</v>
      </c>
      <c r="J5" s="297">
        <v>43979</v>
      </c>
      <c r="K5" s="198" t="s">
        <v>33</v>
      </c>
      <c r="L5" s="298">
        <v>3505664</v>
      </c>
      <c r="M5" s="301" t="s">
        <v>19</v>
      </c>
    </row>
    <row r="6" spans="2:13" ht="16.2" x14ac:dyDescent="0.3">
      <c r="B6" s="198">
        <v>43977</v>
      </c>
      <c r="C6" s="229" t="s">
        <v>851</v>
      </c>
      <c r="D6" s="200" t="s">
        <v>31</v>
      </c>
      <c r="E6" s="198" t="s">
        <v>105</v>
      </c>
      <c r="F6" s="229" t="s">
        <v>846</v>
      </c>
      <c r="G6" s="200" t="s">
        <v>847</v>
      </c>
      <c r="H6" s="200" t="s">
        <v>32</v>
      </c>
      <c r="I6" s="201" t="s">
        <v>97</v>
      </c>
      <c r="J6" s="297">
        <v>43979</v>
      </c>
      <c r="K6" s="198" t="s">
        <v>33</v>
      </c>
      <c r="L6" s="298">
        <v>3505664</v>
      </c>
      <c r="M6" s="301" t="s">
        <v>19</v>
      </c>
    </row>
    <row r="7" spans="2:13" ht="16.2" x14ac:dyDescent="0.3">
      <c r="B7" s="198"/>
      <c r="C7" s="229"/>
      <c r="D7" s="200"/>
      <c r="E7" s="198"/>
      <c r="F7" s="229"/>
      <c r="G7" s="200"/>
      <c r="H7" s="200"/>
      <c r="I7" s="201"/>
      <c r="J7" s="297"/>
      <c r="K7" s="198"/>
      <c r="L7" s="298"/>
      <c r="M7" s="301"/>
    </row>
    <row r="8" spans="2:13" ht="16.2" x14ac:dyDescent="0.3">
      <c r="B8" s="198">
        <v>43972</v>
      </c>
      <c r="C8" s="229" t="s">
        <v>324</v>
      </c>
      <c r="D8" s="200" t="s">
        <v>31</v>
      </c>
      <c r="E8" s="198" t="s">
        <v>308</v>
      </c>
      <c r="F8" s="229" t="s">
        <v>309</v>
      </c>
      <c r="G8" s="200" t="s">
        <v>304</v>
      </c>
      <c r="H8" s="200" t="s">
        <v>38</v>
      </c>
      <c r="I8" s="201" t="s">
        <v>97</v>
      </c>
      <c r="J8" s="297">
        <v>43972</v>
      </c>
      <c r="K8" s="198" t="s">
        <v>39</v>
      </c>
      <c r="L8" s="298">
        <v>3965500</v>
      </c>
      <c r="M8" s="301" t="s">
        <v>19</v>
      </c>
    </row>
    <row r="9" spans="2:13" ht="16.2" x14ac:dyDescent="0.3">
      <c r="B9" s="198">
        <v>43972</v>
      </c>
      <c r="C9" s="229" t="s">
        <v>852</v>
      </c>
      <c r="D9" s="200" t="s">
        <v>31</v>
      </c>
      <c r="E9" s="198" t="s">
        <v>308</v>
      </c>
      <c r="F9" s="229" t="s">
        <v>309</v>
      </c>
      <c r="G9" s="200" t="s">
        <v>304</v>
      </c>
      <c r="H9" s="200" t="s">
        <v>38</v>
      </c>
      <c r="I9" s="201" t="s">
        <v>97</v>
      </c>
      <c r="J9" s="297">
        <v>43972</v>
      </c>
      <c r="K9" s="198" t="s">
        <v>39</v>
      </c>
      <c r="L9" s="298">
        <v>3965500</v>
      </c>
      <c r="M9" s="301" t="s">
        <v>19</v>
      </c>
    </row>
    <row r="10" spans="2:13" ht="16.2" x14ac:dyDescent="0.3">
      <c r="B10" s="198"/>
      <c r="C10" s="229"/>
      <c r="D10" s="200"/>
      <c r="E10" s="198"/>
      <c r="F10" s="229"/>
      <c r="G10" s="200"/>
      <c r="H10" s="200"/>
      <c r="I10" s="201"/>
      <c r="J10" s="297"/>
      <c r="K10" s="198"/>
      <c r="L10" s="298"/>
      <c r="M10" s="301" t="s">
        <v>19</v>
      </c>
    </row>
    <row r="11" spans="2:13" ht="16.2" x14ac:dyDescent="0.3">
      <c r="B11" s="198"/>
      <c r="C11" s="229"/>
      <c r="D11" s="200"/>
      <c r="E11" s="198"/>
      <c r="F11" s="229"/>
      <c r="G11" s="200"/>
      <c r="H11" s="200"/>
      <c r="I11" s="201"/>
      <c r="J11" s="297"/>
      <c r="K11" s="198"/>
      <c r="L11" s="298"/>
      <c r="M11" s="301" t="s">
        <v>19</v>
      </c>
    </row>
    <row r="12" spans="2:13" ht="16.2" x14ac:dyDescent="0.3">
      <c r="B12" s="198"/>
      <c r="C12" s="229"/>
      <c r="D12" s="200"/>
      <c r="E12" s="198"/>
      <c r="F12" s="229"/>
      <c r="G12" s="200"/>
      <c r="H12" s="200"/>
      <c r="I12" s="201"/>
      <c r="J12" s="297"/>
      <c r="K12" s="198"/>
      <c r="L12" s="298"/>
      <c r="M12" s="301" t="s">
        <v>19</v>
      </c>
    </row>
    <row r="13" spans="2:13" ht="16.2" x14ac:dyDescent="0.3">
      <c r="B13" s="198"/>
      <c r="C13" s="229"/>
      <c r="D13" s="200"/>
      <c r="E13" s="198"/>
      <c r="F13" s="229"/>
      <c r="G13" s="200"/>
      <c r="H13" s="200"/>
      <c r="I13" s="201"/>
      <c r="J13" s="297"/>
      <c r="K13" s="198"/>
      <c r="L13" s="298"/>
      <c r="M13" s="301" t="s">
        <v>19</v>
      </c>
    </row>
    <row r="14" spans="2:13" ht="16.2" x14ac:dyDescent="0.3">
      <c r="B14" s="198">
        <v>43979</v>
      </c>
      <c r="C14" s="229" t="s">
        <v>853</v>
      </c>
      <c r="D14" s="200" t="s">
        <v>31</v>
      </c>
      <c r="E14" s="198" t="s">
        <v>443</v>
      </c>
      <c r="F14" s="229" t="s">
        <v>854</v>
      </c>
      <c r="G14" s="200" t="s">
        <v>855</v>
      </c>
      <c r="H14" s="200" t="s">
        <v>32</v>
      </c>
      <c r="I14" s="201" t="s">
        <v>97</v>
      </c>
      <c r="J14" s="297">
        <v>43979</v>
      </c>
      <c r="K14" s="198" t="s">
        <v>39</v>
      </c>
      <c r="L14" s="298">
        <v>3505664</v>
      </c>
      <c r="M14" s="301" t="s">
        <v>19</v>
      </c>
    </row>
    <row r="15" spans="2:13" ht="16.2" x14ac:dyDescent="0.3">
      <c r="B15" s="198">
        <v>43979</v>
      </c>
      <c r="C15" s="229" t="s">
        <v>856</v>
      </c>
      <c r="D15" s="200" t="s">
        <v>31</v>
      </c>
      <c r="E15" s="198" t="s">
        <v>443</v>
      </c>
      <c r="F15" s="229" t="s">
        <v>854</v>
      </c>
      <c r="G15" s="200" t="s">
        <v>855</v>
      </c>
      <c r="H15" s="200" t="s">
        <v>32</v>
      </c>
      <c r="I15" s="201" t="s">
        <v>97</v>
      </c>
      <c r="J15" s="297">
        <v>43979</v>
      </c>
      <c r="K15" s="198" t="s">
        <v>39</v>
      </c>
      <c r="L15" s="298">
        <v>3505664</v>
      </c>
      <c r="M15" s="301" t="s">
        <v>19</v>
      </c>
    </row>
    <row r="16" spans="2:13" ht="16.2" x14ac:dyDescent="0.3">
      <c r="B16" s="198">
        <v>43979</v>
      </c>
      <c r="C16" s="229" t="s">
        <v>857</v>
      </c>
      <c r="D16" s="200" t="s">
        <v>31</v>
      </c>
      <c r="E16" s="198" t="s">
        <v>443</v>
      </c>
      <c r="F16" s="229" t="s">
        <v>854</v>
      </c>
      <c r="G16" s="200" t="s">
        <v>855</v>
      </c>
      <c r="H16" s="200" t="s">
        <v>32</v>
      </c>
      <c r="I16" s="201" t="s">
        <v>97</v>
      </c>
      <c r="J16" s="297">
        <v>43979</v>
      </c>
      <c r="K16" s="198" t="s">
        <v>39</v>
      </c>
      <c r="L16" s="298">
        <v>3505664</v>
      </c>
      <c r="M16" s="301" t="s">
        <v>19</v>
      </c>
    </row>
    <row r="17" spans="2:13" ht="16.2" x14ac:dyDescent="0.3">
      <c r="B17" s="198">
        <v>43979</v>
      </c>
      <c r="C17" s="229" t="s">
        <v>858</v>
      </c>
      <c r="D17" s="200" t="s">
        <v>31</v>
      </c>
      <c r="E17" s="198" t="s">
        <v>443</v>
      </c>
      <c r="F17" s="229" t="s">
        <v>854</v>
      </c>
      <c r="G17" s="200" t="s">
        <v>855</v>
      </c>
      <c r="H17" s="200" t="s">
        <v>32</v>
      </c>
      <c r="I17" s="201" t="s">
        <v>97</v>
      </c>
      <c r="J17" s="297">
        <v>43979</v>
      </c>
      <c r="K17" s="198" t="s">
        <v>39</v>
      </c>
      <c r="L17" s="298">
        <v>3505664</v>
      </c>
      <c r="M17" s="301" t="s">
        <v>19</v>
      </c>
    </row>
    <row r="18" spans="2:13" ht="16.2" x14ac:dyDescent="0.3">
      <c r="B18" s="198">
        <v>43979</v>
      </c>
      <c r="C18" s="229" t="s">
        <v>859</v>
      </c>
      <c r="D18" s="200" t="s">
        <v>31</v>
      </c>
      <c r="E18" s="198" t="s">
        <v>443</v>
      </c>
      <c r="F18" s="229" t="s">
        <v>854</v>
      </c>
      <c r="G18" s="200" t="s">
        <v>855</v>
      </c>
      <c r="H18" s="200" t="s">
        <v>32</v>
      </c>
      <c r="I18" s="201" t="s">
        <v>97</v>
      </c>
      <c r="J18" s="297">
        <v>43979</v>
      </c>
      <c r="K18" s="198" t="s">
        <v>39</v>
      </c>
      <c r="L18" s="298">
        <v>3505664</v>
      </c>
      <c r="M18" s="301" t="s">
        <v>19</v>
      </c>
    </row>
    <row r="19" spans="2:13" ht="16.2" x14ac:dyDescent="0.3">
      <c r="B19" s="198">
        <v>43979</v>
      </c>
      <c r="C19" s="229" t="s">
        <v>860</v>
      </c>
      <c r="D19" s="200" t="s">
        <v>31</v>
      </c>
      <c r="E19" s="198" t="s">
        <v>443</v>
      </c>
      <c r="F19" s="229" t="s">
        <v>854</v>
      </c>
      <c r="G19" s="200" t="s">
        <v>855</v>
      </c>
      <c r="H19" s="200" t="s">
        <v>32</v>
      </c>
      <c r="I19" s="201" t="s">
        <v>97</v>
      </c>
      <c r="J19" s="297">
        <v>43979</v>
      </c>
      <c r="K19" s="198" t="s">
        <v>39</v>
      </c>
      <c r="L19" s="298">
        <v>3505664</v>
      </c>
      <c r="M19" s="301" t="s">
        <v>19</v>
      </c>
    </row>
    <row r="20" spans="2:13" ht="16.2" x14ac:dyDescent="0.3">
      <c r="B20" s="198">
        <v>43979</v>
      </c>
      <c r="C20" s="229" t="s">
        <v>861</v>
      </c>
      <c r="D20" s="200" t="s">
        <v>31</v>
      </c>
      <c r="E20" s="198" t="s">
        <v>443</v>
      </c>
      <c r="F20" s="229" t="s">
        <v>854</v>
      </c>
      <c r="G20" s="200" t="s">
        <v>855</v>
      </c>
      <c r="H20" s="200" t="s">
        <v>32</v>
      </c>
      <c r="I20" s="201" t="s">
        <v>97</v>
      </c>
      <c r="J20" s="297">
        <v>43979</v>
      </c>
      <c r="K20" s="198" t="s">
        <v>39</v>
      </c>
      <c r="L20" s="298">
        <v>3505664</v>
      </c>
      <c r="M20" s="301" t="s">
        <v>19</v>
      </c>
    </row>
    <row r="21" spans="2:13" ht="16.2" x14ac:dyDescent="0.3">
      <c r="B21" s="198">
        <v>43979</v>
      </c>
      <c r="C21" s="229" t="s">
        <v>862</v>
      </c>
      <c r="D21" s="200" t="s">
        <v>31</v>
      </c>
      <c r="E21" s="198" t="s">
        <v>443</v>
      </c>
      <c r="F21" s="229" t="s">
        <v>854</v>
      </c>
      <c r="G21" s="200" t="s">
        <v>855</v>
      </c>
      <c r="H21" s="200" t="s">
        <v>32</v>
      </c>
      <c r="I21" s="201" t="s">
        <v>97</v>
      </c>
      <c r="J21" s="297">
        <v>43979</v>
      </c>
      <c r="K21" s="198" t="s">
        <v>39</v>
      </c>
      <c r="L21" s="298">
        <v>3505664</v>
      </c>
      <c r="M21" s="301" t="s">
        <v>19</v>
      </c>
    </row>
    <row r="22" spans="2:13" ht="16.2" x14ac:dyDescent="0.3">
      <c r="B22" s="198">
        <v>43979</v>
      </c>
      <c r="C22" s="229" t="s">
        <v>863</v>
      </c>
      <c r="D22" s="200" t="s">
        <v>31</v>
      </c>
      <c r="E22" s="198" t="s">
        <v>443</v>
      </c>
      <c r="F22" s="229" t="s">
        <v>854</v>
      </c>
      <c r="G22" s="200" t="s">
        <v>855</v>
      </c>
      <c r="H22" s="200" t="s">
        <v>32</v>
      </c>
      <c r="I22" s="201" t="s">
        <v>97</v>
      </c>
      <c r="J22" s="297">
        <v>43979</v>
      </c>
      <c r="K22" s="198" t="s">
        <v>39</v>
      </c>
      <c r="L22" s="298">
        <v>3505664</v>
      </c>
      <c r="M22" s="301" t="s">
        <v>19</v>
      </c>
    </row>
    <row r="23" spans="2:13" ht="16.2" x14ac:dyDescent="0.3">
      <c r="B23" s="198">
        <v>43979</v>
      </c>
      <c r="C23" s="229" t="s">
        <v>864</v>
      </c>
      <c r="D23" s="200" t="s">
        <v>31</v>
      </c>
      <c r="E23" s="198" t="s">
        <v>443</v>
      </c>
      <c r="F23" s="229" t="s">
        <v>854</v>
      </c>
      <c r="G23" s="200" t="s">
        <v>855</v>
      </c>
      <c r="H23" s="200" t="s">
        <v>32</v>
      </c>
      <c r="I23" s="201" t="s">
        <v>97</v>
      </c>
      <c r="J23" s="297">
        <v>43979</v>
      </c>
      <c r="K23" s="198" t="s">
        <v>39</v>
      </c>
      <c r="L23" s="298">
        <v>3505664</v>
      </c>
      <c r="M23" s="301" t="s">
        <v>19</v>
      </c>
    </row>
    <row r="24" spans="2:13" ht="16.2" x14ac:dyDescent="0.3">
      <c r="B24" s="198">
        <v>43979</v>
      </c>
      <c r="C24" s="229" t="s">
        <v>865</v>
      </c>
      <c r="D24" s="200" t="s">
        <v>31</v>
      </c>
      <c r="E24" s="198" t="s">
        <v>443</v>
      </c>
      <c r="F24" s="229" t="s">
        <v>854</v>
      </c>
      <c r="G24" s="200" t="s">
        <v>855</v>
      </c>
      <c r="H24" s="200" t="s">
        <v>32</v>
      </c>
      <c r="I24" s="201" t="s">
        <v>97</v>
      </c>
      <c r="J24" s="297">
        <v>43979</v>
      </c>
      <c r="K24" s="198" t="s">
        <v>39</v>
      </c>
      <c r="L24" s="298">
        <v>3505664</v>
      </c>
      <c r="M24" s="301" t="s">
        <v>19</v>
      </c>
    </row>
    <row r="25" spans="2:13" ht="16.2" x14ac:dyDescent="0.3">
      <c r="B25" s="198">
        <v>43979</v>
      </c>
      <c r="C25" s="229" t="s">
        <v>866</v>
      </c>
      <c r="D25" s="200" t="s">
        <v>31</v>
      </c>
      <c r="E25" s="198" t="s">
        <v>443</v>
      </c>
      <c r="F25" s="229" t="s">
        <v>854</v>
      </c>
      <c r="G25" s="200" t="s">
        <v>855</v>
      </c>
      <c r="H25" s="200" t="s">
        <v>32</v>
      </c>
      <c r="I25" s="201" t="s">
        <v>97</v>
      </c>
      <c r="J25" s="297">
        <v>43979</v>
      </c>
      <c r="K25" s="198" t="s">
        <v>39</v>
      </c>
      <c r="L25" s="298">
        <v>3505664</v>
      </c>
      <c r="M25" s="301" t="s">
        <v>19</v>
      </c>
    </row>
    <row r="26" spans="2:13" ht="16.2" x14ac:dyDescent="0.3">
      <c r="B26" s="198">
        <v>43979</v>
      </c>
      <c r="C26" s="229" t="s">
        <v>867</v>
      </c>
      <c r="D26" s="200" t="s">
        <v>31</v>
      </c>
      <c r="E26" s="198" t="s">
        <v>443</v>
      </c>
      <c r="F26" s="229" t="s">
        <v>854</v>
      </c>
      <c r="G26" s="200" t="s">
        <v>855</v>
      </c>
      <c r="H26" s="200" t="s">
        <v>32</v>
      </c>
      <c r="I26" s="201" t="s">
        <v>97</v>
      </c>
      <c r="J26" s="297">
        <v>43979</v>
      </c>
      <c r="K26" s="198" t="s">
        <v>39</v>
      </c>
      <c r="L26" s="298">
        <v>3505664</v>
      </c>
      <c r="M26" s="301" t="s">
        <v>19</v>
      </c>
    </row>
    <row r="27" spans="2:13" ht="16.2" x14ac:dyDescent="0.3">
      <c r="B27" s="198">
        <v>43979</v>
      </c>
      <c r="C27" s="229" t="s">
        <v>868</v>
      </c>
      <c r="D27" s="200" t="s">
        <v>31</v>
      </c>
      <c r="E27" s="198" t="s">
        <v>443</v>
      </c>
      <c r="F27" s="229" t="s">
        <v>854</v>
      </c>
      <c r="G27" s="200" t="s">
        <v>855</v>
      </c>
      <c r="H27" s="200" t="s">
        <v>32</v>
      </c>
      <c r="I27" s="201" t="s">
        <v>97</v>
      </c>
      <c r="J27" s="297">
        <v>43979</v>
      </c>
      <c r="K27" s="198" t="s">
        <v>39</v>
      </c>
      <c r="L27" s="298">
        <v>3505664</v>
      </c>
      <c r="M27" s="301" t="s">
        <v>19</v>
      </c>
    </row>
    <row r="28" spans="2:13" ht="16.2" x14ac:dyDescent="0.3">
      <c r="B28" s="198">
        <v>43979</v>
      </c>
      <c r="C28" s="229" t="s">
        <v>869</v>
      </c>
      <c r="D28" s="200" t="s">
        <v>31</v>
      </c>
      <c r="E28" s="198" t="s">
        <v>443</v>
      </c>
      <c r="F28" s="229" t="s">
        <v>854</v>
      </c>
      <c r="G28" s="200" t="s">
        <v>855</v>
      </c>
      <c r="H28" s="200" t="s">
        <v>32</v>
      </c>
      <c r="I28" s="201" t="s">
        <v>97</v>
      </c>
      <c r="J28" s="297">
        <v>43979</v>
      </c>
      <c r="K28" s="198" t="s">
        <v>39</v>
      </c>
      <c r="L28" s="298">
        <v>3505664</v>
      </c>
      <c r="M28" s="301" t="s">
        <v>19</v>
      </c>
    </row>
    <row r="29" spans="2:13" ht="16.2" x14ac:dyDescent="0.3">
      <c r="B29" s="198">
        <v>43979</v>
      </c>
      <c r="C29" s="229" t="s">
        <v>870</v>
      </c>
      <c r="D29" s="200" t="s">
        <v>31</v>
      </c>
      <c r="E29" s="198" t="s">
        <v>443</v>
      </c>
      <c r="F29" s="229" t="s">
        <v>854</v>
      </c>
      <c r="G29" s="200" t="s">
        <v>855</v>
      </c>
      <c r="H29" s="200" t="s">
        <v>32</v>
      </c>
      <c r="I29" s="201" t="s">
        <v>97</v>
      </c>
      <c r="J29" s="297">
        <v>43979</v>
      </c>
      <c r="K29" s="198" t="s">
        <v>39</v>
      </c>
      <c r="L29" s="298">
        <v>3505664</v>
      </c>
      <c r="M29" s="301" t="s">
        <v>19</v>
      </c>
    </row>
    <row r="30" spans="2:13" ht="16.2" x14ac:dyDescent="0.3">
      <c r="B30" s="198">
        <v>43979</v>
      </c>
      <c r="C30" s="229" t="s">
        <v>871</v>
      </c>
      <c r="D30" s="200" t="s">
        <v>31</v>
      </c>
      <c r="E30" s="198" t="s">
        <v>443</v>
      </c>
      <c r="F30" s="229" t="s">
        <v>854</v>
      </c>
      <c r="G30" s="200" t="s">
        <v>855</v>
      </c>
      <c r="H30" s="200" t="s">
        <v>32</v>
      </c>
      <c r="I30" s="201" t="s">
        <v>97</v>
      </c>
      <c r="J30" s="297">
        <v>43979</v>
      </c>
      <c r="K30" s="198" t="s">
        <v>39</v>
      </c>
      <c r="L30" s="298">
        <v>3505664</v>
      </c>
      <c r="M30" s="301" t="s">
        <v>19</v>
      </c>
    </row>
    <row r="31" spans="2:13" ht="16.2" x14ac:dyDescent="0.3">
      <c r="B31" s="198">
        <v>43979</v>
      </c>
      <c r="C31" s="229" t="s">
        <v>872</v>
      </c>
      <c r="D31" s="200" t="s">
        <v>31</v>
      </c>
      <c r="E31" s="198" t="s">
        <v>443</v>
      </c>
      <c r="F31" s="229" t="s">
        <v>854</v>
      </c>
      <c r="G31" s="200" t="s">
        <v>855</v>
      </c>
      <c r="H31" s="200" t="s">
        <v>32</v>
      </c>
      <c r="I31" s="201" t="s">
        <v>97</v>
      </c>
      <c r="J31" s="297">
        <v>43979</v>
      </c>
      <c r="K31" s="198" t="s">
        <v>39</v>
      </c>
      <c r="L31" s="298">
        <v>3505664</v>
      </c>
      <c r="M31" s="301" t="s">
        <v>19</v>
      </c>
    </row>
    <row r="32" spans="2:13" ht="16.2" x14ac:dyDescent="0.3">
      <c r="B32" s="198"/>
      <c r="C32" s="229"/>
      <c r="D32" s="200"/>
      <c r="E32" s="198"/>
      <c r="F32" s="229"/>
      <c r="G32" s="200"/>
      <c r="H32" s="200"/>
      <c r="I32" s="201"/>
      <c r="J32" s="297"/>
      <c r="K32" s="198"/>
      <c r="L32" s="298"/>
      <c r="M32" s="301"/>
    </row>
    <row r="33" spans="12:13" ht="16.2" x14ac:dyDescent="0.3">
      <c r="L33" s="300">
        <f>SUM(L2:L32)</f>
        <v>88561272</v>
      </c>
      <c r="M33" s="301"/>
    </row>
  </sheetData>
  <autoFilter ref="B1:M33"/>
  <dataValidations count="4">
    <dataValidation type="date" allowBlank="1" showInputMessage="1" showErrorMessage="1" sqref="H7:H22">
      <formula1>42736</formula1>
      <formula2>47848</formula2>
    </dataValidation>
    <dataValidation type="date" allowBlank="1" showInputMessage="1" showErrorMessage="1" sqref="I7:I22">
      <formula1>43101</formula1>
      <formula2>47848</formula2>
    </dataValidation>
    <dataValidation type="date" allowBlank="1" showInputMessage="1" showErrorMessage="1" sqref="B2:B6">
      <formula1>43466</formula1>
      <formula2>47848</formula2>
    </dataValidation>
    <dataValidation type="whole" allowBlank="1" showInputMessage="1" showErrorMessage="1" sqref="L2:L6">
      <formula1>0</formula1>
      <formula2>1000000000000</formula2>
    </dataValidation>
  </dataValidations>
  <printOptions horizontalCentered="1"/>
  <pageMargins left="0.7" right="0.7" top="0.75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'C:\Users\Khojaka\Downloads\Telegram Desktop\[NEW Visa_Kont Akfa — копия.xlsx]Ma''lumotlarBazasi'!#REF!</xm:f>
          </x14:formula1>
          <xm:sqref>G7:G22 K7:K22</xm:sqref>
        </x14:dataValidation>
        <x14:dataValidation type="list" allowBlank="1" showInputMessage="1" showErrorMessage="1">
          <x14:formula1>
            <xm:f>'D:\Sardor\Общая папка\ВИЗА\Project\[Aviaticket Hotel.xlsx]Ma''lumotlarBazasi'!#REF!</xm:f>
          </x14:formula1>
          <xm:sqref>E2:E7</xm:sqref>
        </x14:dataValidation>
        <x14:dataValidation type="list" allowBlank="1" showInputMessage="1" showErrorMessage="1">
          <x14:formula1>
            <xm:f>'D:\Sardor\Общая папка\ВИЗА\Project\[Aviaticket Hotel.xlsx]Ma''lumotlarBazasi'!#REF!</xm:f>
          </x14:formula1>
          <xm:sqref>D2:D6</xm:sqref>
        </x14:dataValidation>
        <x14:dataValidation type="list" allowBlank="1" showInputMessage="1" showErrorMessage="1">
          <x14:formula1>
            <xm:f>'D:\Sardor\Общая папка\ВИЗА\Project\[Aviaticket Hotel.xlsx]Ma''lumotlarBazasi'!#REF!</xm:f>
          </x14:formula1>
          <xm:sqref>M2:M33</xm:sqref>
        </x14:dataValidation>
        <x14:dataValidation type="list" allowBlank="1" showInputMessage="1" showErrorMessage="1">
          <x14:formula1>
            <xm:f>'D:\Sardor\Общая папка\ВИЗА\Project\[Aviaticket Hotel.xlsx]Ma''lumotlarBazasi'!#REF!</xm:f>
          </x14:formula1>
          <xm:sqref>K2:K6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5" tint="-0.499984740745262"/>
    <pageSetUpPr autoPageBreaks="0" fitToPage="1"/>
  </sheetPr>
  <dimension ref="B2:M18"/>
  <sheetViews>
    <sheetView showGridLines="0" workbookViewId="0">
      <selection activeCell="M7" sqref="M7:M17"/>
    </sheetView>
  </sheetViews>
  <sheetFormatPr defaultColWidth="9.109375" defaultRowHeight="15" x14ac:dyDescent="0.35"/>
  <cols>
    <col min="1" max="1" width="9.109375" style="303"/>
    <col min="2" max="2" width="13.5546875" style="303" bestFit="1" customWidth="1"/>
    <col min="3" max="3" width="36" style="305" bestFit="1" customWidth="1"/>
    <col min="4" max="4" width="15.6640625" style="303" bestFit="1" customWidth="1"/>
    <col min="5" max="5" width="21.88671875" style="303" bestFit="1" customWidth="1"/>
    <col min="6" max="6" width="28.33203125" style="303" bestFit="1" customWidth="1"/>
    <col min="7" max="7" width="22.33203125" style="29" bestFit="1" customWidth="1"/>
    <col min="8" max="8" width="25.33203125" style="303" bestFit="1" customWidth="1"/>
    <col min="9" max="9" width="16" style="303" bestFit="1" customWidth="1"/>
    <col min="10" max="10" width="14.5546875" style="303" bestFit="1" customWidth="1"/>
    <col min="11" max="11" width="13" style="303" bestFit="1" customWidth="1"/>
    <col min="12" max="12" width="25.44140625" style="303" bestFit="1" customWidth="1"/>
    <col min="13" max="13" width="18.88671875" style="303" bestFit="1" customWidth="1"/>
    <col min="14" max="16384" width="9.109375" style="303"/>
  </cols>
  <sheetData>
    <row r="2" spans="2:13" ht="16.2" x14ac:dyDescent="0.35">
      <c r="B2" s="156"/>
      <c r="C2" s="166"/>
      <c r="D2" s="156"/>
      <c r="E2" s="156"/>
      <c r="F2" s="160"/>
      <c r="G2" s="160"/>
      <c r="H2" s="156"/>
      <c r="I2" s="156"/>
      <c r="J2" s="156"/>
      <c r="K2" s="156"/>
      <c r="L2" s="156"/>
      <c r="M2" s="156"/>
    </row>
    <row r="3" spans="2:13" ht="16.8" x14ac:dyDescent="0.35">
      <c r="B3" s="198">
        <v>43993</v>
      </c>
      <c r="C3" s="229" t="s">
        <v>881</v>
      </c>
      <c r="D3" s="200" t="s">
        <v>31</v>
      </c>
      <c r="E3" s="224" t="s">
        <v>433</v>
      </c>
      <c r="F3" s="229" t="s">
        <v>882</v>
      </c>
      <c r="G3" s="200" t="s">
        <v>883</v>
      </c>
      <c r="H3" s="200" t="s">
        <v>32</v>
      </c>
      <c r="I3" s="201" t="s">
        <v>97</v>
      </c>
      <c r="J3" s="297">
        <v>43994</v>
      </c>
      <c r="K3" s="229" t="s">
        <v>33</v>
      </c>
      <c r="L3" s="298">
        <v>4605792</v>
      </c>
      <c r="M3" s="302" t="s">
        <v>19</v>
      </c>
    </row>
    <row r="4" spans="2:13" ht="16.8" x14ac:dyDescent="0.35">
      <c r="B4" s="198">
        <v>43993</v>
      </c>
      <c r="C4" s="229" t="s">
        <v>884</v>
      </c>
      <c r="D4" s="200" t="s">
        <v>31</v>
      </c>
      <c r="E4" s="224" t="s">
        <v>433</v>
      </c>
      <c r="F4" s="229" t="s">
        <v>882</v>
      </c>
      <c r="G4" s="200" t="s">
        <v>883</v>
      </c>
      <c r="H4" s="200" t="s">
        <v>32</v>
      </c>
      <c r="I4" s="201" t="s">
        <v>97</v>
      </c>
      <c r="J4" s="297">
        <v>43994</v>
      </c>
      <c r="K4" s="229" t="s">
        <v>33</v>
      </c>
      <c r="L4" s="298">
        <v>4605792</v>
      </c>
      <c r="M4" s="302" t="s">
        <v>19</v>
      </c>
    </row>
    <row r="5" spans="2:13" ht="16.8" x14ac:dyDescent="0.35">
      <c r="B5" s="198">
        <v>43993</v>
      </c>
      <c r="C5" s="229" t="s">
        <v>885</v>
      </c>
      <c r="D5" s="200" t="s">
        <v>31</v>
      </c>
      <c r="E5" s="224" t="s">
        <v>433</v>
      </c>
      <c r="F5" s="229" t="s">
        <v>882</v>
      </c>
      <c r="G5" s="200" t="s">
        <v>883</v>
      </c>
      <c r="H5" s="200" t="s">
        <v>32</v>
      </c>
      <c r="I5" s="201" t="s">
        <v>97</v>
      </c>
      <c r="J5" s="297">
        <v>43994</v>
      </c>
      <c r="K5" s="229" t="s">
        <v>33</v>
      </c>
      <c r="L5" s="298">
        <v>4605792</v>
      </c>
      <c r="M5" s="302" t="s">
        <v>19</v>
      </c>
    </row>
    <row r="6" spans="2:13" ht="16.8" x14ac:dyDescent="0.35">
      <c r="B6" s="198">
        <v>43993</v>
      </c>
      <c r="C6" s="229" t="s">
        <v>886</v>
      </c>
      <c r="D6" s="200" t="s">
        <v>31</v>
      </c>
      <c r="E6" s="224" t="s">
        <v>433</v>
      </c>
      <c r="F6" s="229" t="s">
        <v>882</v>
      </c>
      <c r="G6" s="200" t="s">
        <v>883</v>
      </c>
      <c r="H6" s="200" t="s">
        <v>32</v>
      </c>
      <c r="I6" s="201" t="s">
        <v>97</v>
      </c>
      <c r="J6" s="297">
        <v>43994</v>
      </c>
      <c r="K6" s="229" t="s">
        <v>33</v>
      </c>
      <c r="L6" s="298">
        <v>4605792</v>
      </c>
      <c r="M6" s="302" t="s">
        <v>19</v>
      </c>
    </row>
    <row r="7" spans="2:13" ht="16.8" x14ac:dyDescent="0.35">
      <c r="B7" s="198">
        <v>43987</v>
      </c>
      <c r="C7" s="229" t="s">
        <v>215</v>
      </c>
      <c r="D7" s="200" t="s">
        <v>36</v>
      </c>
      <c r="E7" s="200" t="s">
        <v>121</v>
      </c>
      <c r="F7" s="200" t="s">
        <v>126</v>
      </c>
      <c r="G7" s="200" t="s">
        <v>584</v>
      </c>
      <c r="H7" s="200" t="s">
        <v>876</v>
      </c>
      <c r="I7" s="200" t="s">
        <v>81</v>
      </c>
      <c r="J7" s="297">
        <v>43988</v>
      </c>
      <c r="K7" s="229" t="s">
        <v>247</v>
      </c>
      <c r="L7" s="298">
        <v>610000</v>
      </c>
      <c r="M7" s="304" t="s">
        <v>20</v>
      </c>
    </row>
    <row r="8" spans="2:13" ht="16.8" x14ac:dyDescent="0.35">
      <c r="B8" s="198">
        <v>43987</v>
      </c>
      <c r="C8" s="229" t="s">
        <v>249</v>
      </c>
      <c r="D8" s="200" t="s">
        <v>36</v>
      </c>
      <c r="E8" s="200" t="s">
        <v>121</v>
      </c>
      <c r="F8" s="200" t="s">
        <v>126</v>
      </c>
      <c r="G8" s="200" t="s">
        <v>584</v>
      </c>
      <c r="H8" s="200" t="s">
        <v>876</v>
      </c>
      <c r="I8" s="200" t="s">
        <v>81</v>
      </c>
      <c r="J8" s="297">
        <v>43988</v>
      </c>
      <c r="K8" s="229" t="s">
        <v>247</v>
      </c>
      <c r="L8" s="298">
        <v>610000</v>
      </c>
      <c r="M8" s="304" t="s">
        <v>20</v>
      </c>
    </row>
    <row r="9" spans="2:13" ht="16.8" x14ac:dyDescent="0.35">
      <c r="B9" s="198">
        <v>43987</v>
      </c>
      <c r="C9" s="229" t="s">
        <v>873</v>
      </c>
      <c r="D9" s="200" t="s">
        <v>36</v>
      </c>
      <c r="E9" s="200" t="s">
        <v>121</v>
      </c>
      <c r="F9" s="200"/>
      <c r="G9" s="201" t="s">
        <v>116</v>
      </c>
      <c r="H9" s="200" t="s">
        <v>874</v>
      </c>
      <c r="I9" s="200" t="s">
        <v>489</v>
      </c>
      <c r="J9" s="297" t="s">
        <v>875</v>
      </c>
      <c r="K9" s="198" t="s">
        <v>33</v>
      </c>
      <c r="L9" s="298">
        <v>1396562</v>
      </c>
      <c r="M9" s="304" t="s">
        <v>20</v>
      </c>
    </row>
    <row r="10" spans="2:13" ht="16.8" x14ac:dyDescent="0.35">
      <c r="B10" s="198">
        <v>43991</v>
      </c>
      <c r="C10" s="229" t="s">
        <v>877</v>
      </c>
      <c r="D10" s="200" t="s">
        <v>36</v>
      </c>
      <c r="E10" s="224" t="s">
        <v>158</v>
      </c>
      <c r="F10" s="229" t="s">
        <v>878</v>
      </c>
      <c r="G10" s="200" t="s">
        <v>116</v>
      </c>
      <c r="H10" s="200" t="s">
        <v>879</v>
      </c>
      <c r="I10" s="200" t="s">
        <v>81</v>
      </c>
      <c r="J10" s="297">
        <v>43992</v>
      </c>
      <c r="K10" s="229" t="s">
        <v>247</v>
      </c>
      <c r="L10" s="298">
        <v>470000</v>
      </c>
      <c r="M10" s="304" t="s">
        <v>20</v>
      </c>
    </row>
    <row r="11" spans="2:13" ht="16.8" x14ac:dyDescent="0.35">
      <c r="B11" s="198">
        <v>43991</v>
      </c>
      <c r="C11" s="229" t="s">
        <v>880</v>
      </c>
      <c r="D11" s="200" t="s">
        <v>36</v>
      </c>
      <c r="E11" s="224" t="s">
        <v>158</v>
      </c>
      <c r="F11" s="229" t="s">
        <v>878</v>
      </c>
      <c r="G11" s="200" t="s">
        <v>116</v>
      </c>
      <c r="H11" s="200" t="s">
        <v>879</v>
      </c>
      <c r="I11" s="200" t="s">
        <v>81</v>
      </c>
      <c r="J11" s="297">
        <v>43992</v>
      </c>
      <c r="K11" s="229" t="s">
        <v>247</v>
      </c>
      <c r="L11" s="298">
        <v>470000</v>
      </c>
      <c r="M11" s="304" t="s">
        <v>20</v>
      </c>
    </row>
    <row r="12" spans="2:13" ht="16.8" x14ac:dyDescent="0.35">
      <c r="B12" s="198">
        <v>43994</v>
      </c>
      <c r="C12" s="229" t="s">
        <v>877</v>
      </c>
      <c r="D12" s="200" t="s">
        <v>36</v>
      </c>
      <c r="E12" s="224" t="s">
        <v>158</v>
      </c>
      <c r="F12" s="229" t="s">
        <v>878</v>
      </c>
      <c r="G12" s="200" t="s">
        <v>116</v>
      </c>
      <c r="H12" s="200" t="s">
        <v>879</v>
      </c>
      <c r="I12" s="200" t="s">
        <v>81</v>
      </c>
      <c r="J12" s="297">
        <v>43995</v>
      </c>
      <c r="K12" s="229" t="s">
        <v>247</v>
      </c>
      <c r="L12" s="298">
        <v>388000</v>
      </c>
      <c r="M12" s="304" t="s">
        <v>20</v>
      </c>
    </row>
    <row r="13" spans="2:13" ht="16.8" x14ac:dyDescent="0.35">
      <c r="B13" s="198">
        <v>43994</v>
      </c>
      <c r="C13" s="229" t="s">
        <v>880</v>
      </c>
      <c r="D13" s="200" t="s">
        <v>36</v>
      </c>
      <c r="E13" s="224" t="s">
        <v>158</v>
      </c>
      <c r="F13" s="229" t="s">
        <v>878</v>
      </c>
      <c r="G13" s="200" t="s">
        <v>116</v>
      </c>
      <c r="H13" s="200" t="s">
        <v>879</v>
      </c>
      <c r="I13" s="200" t="s">
        <v>81</v>
      </c>
      <c r="J13" s="297">
        <v>43995</v>
      </c>
      <c r="K13" s="229" t="s">
        <v>247</v>
      </c>
      <c r="L13" s="298">
        <v>388000</v>
      </c>
      <c r="M13" s="304" t="s">
        <v>20</v>
      </c>
    </row>
    <row r="14" spans="2:13" ht="16.8" x14ac:dyDescent="0.35">
      <c r="B14" s="198">
        <v>44012</v>
      </c>
      <c r="C14" s="229" t="s">
        <v>163</v>
      </c>
      <c r="D14" s="200" t="s">
        <v>36</v>
      </c>
      <c r="E14" s="224" t="s">
        <v>158</v>
      </c>
      <c r="F14" s="200" t="s">
        <v>887</v>
      </c>
      <c r="G14" s="200" t="s">
        <v>116</v>
      </c>
      <c r="H14" s="200" t="s">
        <v>888</v>
      </c>
      <c r="I14" s="200" t="s">
        <v>81</v>
      </c>
      <c r="J14" s="297">
        <v>44013</v>
      </c>
      <c r="K14" s="229" t="s">
        <v>33</v>
      </c>
      <c r="L14" s="298">
        <v>727556</v>
      </c>
      <c r="M14" s="304" t="s">
        <v>20</v>
      </c>
    </row>
    <row r="15" spans="2:13" ht="16.8" x14ac:dyDescent="0.35">
      <c r="B15" s="198">
        <v>44012</v>
      </c>
      <c r="C15" s="229" t="s">
        <v>113</v>
      </c>
      <c r="D15" s="200" t="s">
        <v>36</v>
      </c>
      <c r="E15" s="224" t="s">
        <v>158</v>
      </c>
      <c r="F15" s="200" t="s">
        <v>887</v>
      </c>
      <c r="G15" s="200" t="s">
        <v>116</v>
      </c>
      <c r="H15" s="200" t="s">
        <v>888</v>
      </c>
      <c r="I15" s="200" t="s">
        <v>81</v>
      </c>
      <c r="J15" s="297">
        <v>44013</v>
      </c>
      <c r="K15" s="229" t="s">
        <v>33</v>
      </c>
      <c r="L15" s="298">
        <v>727556</v>
      </c>
      <c r="M15" s="304" t="s">
        <v>20</v>
      </c>
    </row>
    <row r="16" spans="2:13" ht="16.8" x14ac:dyDescent="0.35">
      <c r="B16" s="198">
        <v>44012</v>
      </c>
      <c r="C16" s="229" t="s">
        <v>889</v>
      </c>
      <c r="D16" s="200" t="s">
        <v>36</v>
      </c>
      <c r="E16" s="224" t="s">
        <v>158</v>
      </c>
      <c r="F16" s="229" t="s">
        <v>878</v>
      </c>
      <c r="G16" s="200" t="s">
        <v>116</v>
      </c>
      <c r="H16" s="200" t="s">
        <v>888</v>
      </c>
      <c r="I16" s="200" t="s">
        <v>81</v>
      </c>
      <c r="J16" s="297">
        <v>44013</v>
      </c>
      <c r="K16" s="229" t="s">
        <v>33</v>
      </c>
      <c r="L16" s="298">
        <v>1273223</v>
      </c>
      <c r="M16" s="304" t="s">
        <v>20</v>
      </c>
    </row>
    <row r="17" spans="2:13" ht="16.8" x14ac:dyDescent="0.35">
      <c r="B17" s="198">
        <v>44012</v>
      </c>
      <c r="C17" s="229" t="s">
        <v>890</v>
      </c>
      <c r="D17" s="200" t="s">
        <v>36</v>
      </c>
      <c r="E17" s="224" t="s">
        <v>158</v>
      </c>
      <c r="F17" s="229" t="s">
        <v>878</v>
      </c>
      <c r="G17" s="200" t="s">
        <v>116</v>
      </c>
      <c r="H17" s="200" t="s">
        <v>888</v>
      </c>
      <c r="I17" s="200" t="s">
        <v>81</v>
      </c>
      <c r="J17" s="297">
        <v>44013</v>
      </c>
      <c r="K17" s="229" t="s">
        <v>33</v>
      </c>
      <c r="L17" s="298">
        <v>557035</v>
      </c>
      <c r="M17" s="304" t="s">
        <v>20</v>
      </c>
    </row>
    <row r="18" spans="2:13" x14ac:dyDescent="0.35">
      <c r="L18" s="306">
        <f>SUM(L3:L17)</f>
        <v>26041100</v>
      </c>
    </row>
  </sheetData>
  <autoFilter ref="B2:M18">
    <sortState ref="B3:M18">
      <sortCondition ref="D2"/>
    </sortState>
  </autoFilter>
  <dataValidations count="2">
    <dataValidation type="date" allowBlank="1" showInputMessage="1" showErrorMessage="1" sqref="B3:B17">
      <formula1>43466</formula1>
      <formula2>47848</formula2>
    </dataValidation>
    <dataValidation type="whole" allowBlank="1" showInputMessage="1" showErrorMessage="1" sqref="L3:L17">
      <formula1>0</formula1>
      <formula2>1000000000000</formula2>
    </dataValidation>
  </dataValidations>
  <printOptions horizontalCentered="1"/>
  <pageMargins left="0.7" right="0.7" top="0.75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'[Aviaticket Hotel(96).xlsx]Ma''lumotlarBazasi'!#REF!</xm:f>
          </x14:formula1>
          <xm:sqref>F3:F7 F12:F13 F16:F17</xm:sqref>
        </x14:dataValidation>
        <x14:dataValidation type="list" allowBlank="1" showInputMessage="1" showErrorMessage="1">
          <x14:formula1>
            <xm:f>'[Aviaticket Hotel(96).xlsx]Ma''lumotlarBazasi'!#REF!</xm:f>
          </x14:formula1>
          <xm:sqref>E3:E17</xm:sqref>
        </x14:dataValidation>
        <x14:dataValidation type="list" allowBlank="1" showInputMessage="1" showErrorMessage="1">
          <x14:formula1>
            <xm:f>'[Aviaticket Hotel(96).xlsx]Ma''lumotlarBazasi'!#REF!</xm:f>
          </x14:formula1>
          <xm:sqref>D3:D17</xm:sqref>
        </x14:dataValidation>
        <x14:dataValidation type="list" allowBlank="1" showInputMessage="1" showErrorMessage="1">
          <x14:formula1>
            <xm:f>'[Aviaticket Hotel(96).xlsx]Ma''lumotlarBazasi'!#REF!</xm:f>
          </x14:formula1>
          <xm:sqref>K3:K17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5" tint="-0.249977111117893"/>
    <pageSetUpPr autoPageBreaks="0" fitToPage="1"/>
  </sheetPr>
  <dimension ref="B1:M45"/>
  <sheetViews>
    <sheetView showGridLines="0" topLeftCell="A19" zoomScale="85" zoomScaleNormal="85" workbookViewId="0">
      <selection activeCell="I9" sqref="I9"/>
    </sheetView>
  </sheetViews>
  <sheetFormatPr defaultColWidth="9.109375" defaultRowHeight="30" customHeight="1" x14ac:dyDescent="0.3"/>
  <cols>
    <col min="1" max="1" width="9.109375" style="40"/>
    <col min="2" max="2" width="12.33203125" style="40" customWidth="1"/>
    <col min="3" max="3" width="66" style="28" customWidth="1"/>
    <col min="4" max="4" width="15" style="40" customWidth="1"/>
    <col min="5" max="5" width="28.6640625" style="40" customWidth="1"/>
    <col min="6" max="6" width="31" style="40" bestFit="1" customWidth="1"/>
    <col min="7" max="7" width="18.88671875" style="175" customWidth="1"/>
    <col min="8" max="8" width="27.5546875" style="40" customWidth="1"/>
    <col min="9" max="9" width="21" style="28" customWidth="1"/>
    <col min="10" max="10" width="18.88671875" style="314" customWidth="1"/>
    <col min="11" max="11" width="14.33203125" style="28" customWidth="1"/>
    <col min="12" max="12" width="13.6640625" style="44" customWidth="1"/>
    <col min="13" max="16384" width="9.109375" style="40"/>
  </cols>
  <sheetData>
    <row r="1" spans="2:13" ht="14.4" x14ac:dyDescent="0.3">
      <c r="B1" s="11"/>
      <c r="C1" s="11"/>
      <c r="D1" s="11"/>
      <c r="E1" s="11"/>
      <c r="F1" s="11"/>
      <c r="G1" s="174"/>
      <c r="H1" s="11"/>
      <c r="I1" s="41"/>
      <c r="J1" s="309"/>
      <c r="K1" s="42"/>
      <c r="L1" s="307"/>
      <c r="M1" s="42"/>
    </row>
    <row r="2" spans="2:13" ht="14.4" x14ac:dyDescent="0.3">
      <c r="B2" s="39">
        <v>44013</v>
      </c>
      <c r="C2" s="35" t="s">
        <v>892</v>
      </c>
      <c r="D2" s="12" t="s">
        <v>36</v>
      </c>
      <c r="E2" s="24" t="s">
        <v>433</v>
      </c>
      <c r="F2" s="24" t="s">
        <v>893</v>
      </c>
      <c r="G2" s="39" t="s">
        <v>894</v>
      </c>
      <c r="H2" s="13" t="s">
        <v>32</v>
      </c>
      <c r="I2" s="13" t="s">
        <v>97</v>
      </c>
      <c r="J2" s="311">
        <v>44013</v>
      </c>
      <c r="K2" s="33" t="s">
        <v>33</v>
      </c>
      <c r="L2" s="308">
        <v>4606352</v>
      </c>
      <c r="M2" s="299" t="s">
        <v>828</v>
      </c>
    </row>
    <row r="3" spans="2:13" ht="14.4" x14ac:dyDescent="0.3">
      <c r="B3" s="39">
        <v>44013</v>
      </c>
      <c r="C3" s="35" t="s">
        <v>895</v>
      </c>
      <c r="D3" s="12" t="s">
        <v>36</v>
      </c>
      <c r="E3" s="24" t="s">
        <v>433</v>
      </c>
      <c r="F3" s="24" t="s">
        <v>893</v>
      </c>
      <c r="G3" s="39" t="s">
        <v>894</v>
      </c>
      <c r="H3" s="13" t="s">
        <v>32</v>
      </c>
      <c r="I3" s="13" t="s">
        <v>97</v>
      </c>
      <c r="J3" s="311">
        <v>44013</v>
      </c>
      <c r="K3" s="33" t="s">
        <v>33</v>
      </c>
      <c r="L3" s="308">
        <v>4606352</v>
      </c>
      <c r="M3" s="299" t="s">
        <v>828</v>
      </c>
    </row>
    <row r="4" spans="2:13" ht="14.4" x14ac:dyDescent="0.3">
      <c r="B4" s="39">
        <v>44027</v>
      </c>
      <c r="C4" s="35" t="s">
        <v>896</v>
      </c>
      <c r="D4" s="12" t="s">
        <v>31</v>
      </c>
      <c r="E4" s="24" t="s">
        <v>433</v>
      </c>
      <c r="F4" s="24" t="s">
        <v>388</v>
      </c>
      <c r="G4" s="39" t="s">
        <v>894</v>
      </c>
      <c r="H4" s="13" t="s">
        <v>32</v>
      </c>
      <c r="I4" s="13" t="s">
        <v>97</v>
      </c>
      <c r="J4" s="311">
        <v>44028</v>
      </c>
      <c r="K4" s="33" t="s">
        <v>39</v>
      </c>
      <c r="L4" s="308">
        <v>4989197</v>
      </c>
      <c r="M4" s="299" t="s">
        <v>828</v>
      </c>
    </row>
    <row r="5" spans="2:13" ht="14.4" x14ac:dyDescent="0.3">
      <c r="B5" s="39">
        <v>44027</v>
      </c>
      <c r="C5" s="35" t="s">
        <v>897</v>
      </c>
      <c r="D5" s="12" t="s">
        <v>31</v>
      </c>
      <c r="E5" s="24" t="s">
        <v>433</v>
      </c>
      <c r="F5" s="24" t="s">
        <v>388</v>
      </c>
      <c r="G5" s="39" t="s">
        <v>894</v>
      </c>
      <c r="H5" s="13" t="s">
        <v>32</v>
      </c>
      <c r="I5" s="13" t="s">
        <v>97</v>
      </c>
      <c r="J5" s="311">
        <v>44028</v>
      </c>
      <c r="K5" s="33" t="s">
        <v>39</v>
      </c>
      <c r="L5" s="308">
        <v>4989197</v>
      </c>
      <c r="M5" s="299" t="s">
        <v>828</v>
      </c>
    </row>
    <row r="6" spans="2:13" ht="14.4" x14ac:dyDescent="0.3">
      <c r="B6" s="39">
        <v>44027</v>
      </c>
      <c r="C6" s="35" t="s">
        <v>898</v>
      </c>
      <c r="D6" s="12" t="s">
        <v>31</v>
      </c>
      <c r="E6" s="24" t="s">
        <v>433</v>
      </c>
      <c r="F6" s="24" t="s">
        <v>388</v>
      </c>
      <c r="G6" s="39" t="s">
        <v>894</v>
      </c>
      <c r="H6" s="13" t="s">
        <v>32</v>
      </c>
      <c r="I6" s="13" t="s">
        <v>97</v>
      </c>
      <c r="J6" s="311">
        <v>44028</v>
      </c>
      <c r="K6" s="33" t="s">
        <v>39</v>
      </c>
      <c r="L6" s="308">
        <v>4989197</v>
      </c>
      <c r="M6" s="299" t="s">
        <v>828</v>
      </c>
    </row>
    <row r="7" spans="2:13" ht="14.4" x14ac:dyDescent="0.3">
      <c r="B7" s="39">
        <v>44027</v>
      </c>
      <c r="C7" s="35" t="s">
        <v>899</v>
      </c>
      <c r="D7" s="12" t="s">
        <v>31</v>
      </c>
      <c r="E7" s="24" t="s">
        <v>433</v>
      </c>
      <c r="F7" s="24" t="s">
        <v>388</v>
      </c>
      <c r="G7" s="39" t="s">
        <v>894</v>
      </c>
      <c r="H7" s="13" t="s">
        <v>32</v>
      </c>
      <c r="I7" s="13" t="s">
        <v>97</v>
      </c>
      <c r="J7" s="311">
        <v>44028</v>
      </c>
      <c r="K7" s="33" t="s">
        <v>39</v>
      </c>
      <c r="L7" s="308">
        <v>4989197</v>
      </c>
      <c r="M7" s="299" t="s">
        <v>828</v>
      </c>
    </row>
    <row r="8" spans="2:13" ht="14.4" x14ac:dyDescent="0.3">
      <c r="B8" s="39">
        <v>44027</v>
      </c>
      <c r="C8" s="35" t="s">
        <v>900</v>
      </c>
      <c r="D8" s="12" t="s">
        <v>31</v>
      </c>
      <c r="E8" s="24" t="s">
        <v>433</v>
      </c>
      <c r="F8" s="35" t="s">
        <v>388</v>
      </c>
      <c r="G8" s="39" t="s">
        <v>894</v>
      </c>
      <c r="H8" s="13" t="s">
        <v>901</v>
      </c>
      <c r="I8" s="13" t="s">
        <v>97</v>
      </c>
      <c r="J8" s="312">
        <v>44028</v>
      </c>
      <c r="K8" s="33" t="s">
        <v>39</v>
      </c>
      <c r="L8" s="308">
        <v>6178436</v>
      </c>
      <c r="M8" s="299" t="s">
        <v>828</v>
      </c>
    </row>
    <row r="9" spans="2:13" ht="14.4" x14ac:dyDescent="0.3">
      <c r="B9" s="39">
        <v>44027</v>
      </c>
      <c r="C9" s="35" t="s">
        <v>902</v>
      </c>
      <c r="D9" s="12" t="s">
        <v>31</v>
      </c>
      <c r="E9" s="24" t="s">
        <v>433</v>
      </c>
      <c r="F9" s="35" t="s">
        <v>388</v>
      </c>
      <c r="G9" s="39" t="s">
        <v>894</v>
      </c>
      <c r="H9" s="13" t="s">
        <v>32</v>
      </c>
      <c r="I9" s="13" t="s">
        <v>97</v>
      </c>
      <c r="J9" s="312">
        <v>44028</v>
      </c>
      <c r="K9" s="33" t="s">
        <v>39</v>
      </c>
      <c r="L9" s="308">
        <v>4989197</v>
      </c>
      <c r="M9" s="299" t="s">
        <v>828</v>
      </c>
    </row>
    <row r="10" spans="2:13" ht="14.4" x14ac:dyDescent="0.3">
      <c r="B10" s="39">
        <v>44027</v>
      </c>
      <c r="C10" s="24" t="s">
        <v>900</v>
      </c>
      <c r="D10" s="12" t="s">
        <v>31</v>
      </c>
      <c r="E10" s="24" t="s">
        <v>433</v>
      </c>
      <c r="F10" s="35" t="s">
        <v>388</v>
      </c>
      <c r="G10" s="39" t="s">
        <v>894</v>
      </c>
      <c r="H10" s="13" t="s">
        <v>901</v>
      </c>
      <c r="I10" s="13" t="s">
        <v>97</v>
      </c>
      <c r="J10" s="313">
        <v>44028</v>
      </c>
      <c r="K10" s="33" t="s">
        <v>39</v>
      </c>
      <c r="L10" s="308">
        <v>4989197</v>
      </c>
      <c r="M10" s="299" t="s">
        <v>828</v>
      </c>
    </row>
    <row r="11" spans="2:13" ht="14.4" x14ac:dyDescent="0.3">
      <c r="B11" s="39">
        <v>44027</v>
      </c>
      <c r="C11" s="35" t="s">
        <v>496</v>
      </c>
      <c r="D11" s="12" t="s">
        <v>31</v>
      </c>
      <c r="E11" s="24" t="s">
        <v>131</v>
      </c>
      <c r="F11" s="35" t="s">
        <v>132</v>
      </c>
      <c r="G11" s="39" t="s">
        <v>903</v>
      </c>
      <c r="H11" s="13" t="s">
        <v>32</v>
      </c>
      <c r="I11" s="13" t="s">
        <v>97</v>
      </c>
      <c r="J11" s="312">
        <v>44028</v>
      </c>
      <c r="K11" s="33" t="s">
        <v>39</v>
      </c>
      <c r="L11" s="308">
        <v>4989197</v>
      </c>
      <c r="M11" s="299" t="s">
        <v>828</v>
      </c>
    </row>
    <row r="12" spans="2:13" ht="14.4" x14ac:dyDescent="0.3">
      <c r="B12" s="39">
        <v>44014</v>
      </c>
      <c r="C12" s="12" t="s">
        <v>905</v>
      </c>
      <c r="D12" s="12" t="s">
        <v>31</v>
      </c>
      <c r="E12" s="24" t="s">
        <v>436</v>
      </c>
      <c r="F12" s="12" t="s">
        <v>906</v>
      </c>
      <c r="G12" s="39" t="s">
        <v>301</v>
      </c>
      <c r="H12" s="13" t="s">
        <v>32</v>
      </c>
      <c r="I12" s="13" t="s">
        <v>97</v>
      </c>
      <c r="J12" s="313">
        <v>44013</v>
      </c>
      <c r="K12" s="33" t="s">
        <v>33</v>
      </c>
      <c r="L12" s="308">
        <v>4606352</v>
      </c>
      <c r="M12" s="299" t="s">
        <v>828</v>
      </c>
    </row>
    <row r="13" spans="2:13" ht="14.4" x14ac:dyDescent="0.3">
      <c r="B13" s="39">
        <v>44026</v>
      </c>
      <c r="C13" s="24" t="s">
        <v>907</v>
      </c>
      <c r="D13" s="12" t="s">
        <v>31</v>
      </c>
      <c r="E13" s="24" t="s">
        <v>436</v>
      </c>
      <c r="F13" s="35" t="s">
        <v>906</v>
      </c>
      <c r="G13" s="39" t="s">
        <v>301</v>
      </c>
      <c r="H13" s="13" t="s">
        <v>32</v>
      </c>
      <c r="I13" s="13" t="s">
        <v>97</v>
      </c>
      <c r="J13" s="313">
        <v>44028</v>
      </c>
      <c r="K13" s="33" t="s">
        <v>39</v>
      </c>
      <c r="L13" s="308">
        <v>4989197</v>
      </c>
      <c r="M13" s="299" t="s">
        <v>828</v>
      </c>
    </row>
    <row r="14" spans="2:13" ht="14.4" x14ac:dyDescent="0.3">
      <c r="B14" s="39">
        <v>44026</v>
      </c>
      <c r="C14" s="43" t="s">
        <v>908</v>
      </c>
      <c r="D14" s="12" t="s">
        <v>31</v>
      </c>
      <c r="E14" s="24" t="s">
        <v>436</v>
      </c>
      <c r="F14" s="35" t="s">
        <v>906</v>
      </c>
      <c r="G14" s="39" t="s">
        <v>301</v>
      </c>
      <c r="H14" s="13" t="s">
        <v>32</v>
      </c>
      <c r="I14" s="13" t="s">
        <v>97</v>
      </c>
      <c r="J14" s="313">
        <v>44028</v>
      </c>
      <c r="K14" s="33" t="s">
        <v>39</v>
      </c>
      <c r="L14" s="308">
        <v>4989197</v>
      </c>
      <c r="M14" s="299" t="s">
        <v>828</v>
      </c>
    </row>
    <row r="15" spans="2:13" ht="14.4" x14ac:dyDescent="0.3">
      <c r="B15" s="39">
        <v>44026</v>
      </c>
      <c r="C15" s="12" t="s">
        <v>909</v>
      </c>
      <c r="D15" s="12" t="s">
        <v>31</v>
      </c>
      <c r="E15" s="24" t="s">
        <v>436</v>
      </c>
      <c r="F15" s="35" t="s">
        <v>906</v>
      </c>
      <c r="G15" s="39" t="s">
        <v>301</v>
      </c>
      <c r="H15" s="13" t="s">
        <v>32</v>
      </c>
      <c r="I15" s="13" t="s">
        <v>97</v>
      </c>
      <c r="J15" s="313">
        <v>44028</v>
      </c>
      <c r="K15" s="33" t="s">
        <v>39</v>
      </c>
      <c r="L15" s="308">
        <v>4989197</v>
      </c>
      <c r="M15" s="299" t="s">
        <v>828</v>
      </c>
    </row>
    <row r="16" spans="2:13" ht="14.4" x14ac:dyDescent="0.3">
      <c r="B16" s="39">
        <v>44026</v>
      </c>
      <c r="C16" s="12" t="s">
        <v>910</v>
      </c>
      <c r="D16" s="12" t="s">
        <v>31</v>
      </c>
      <c r="E16" s="24" t="s">
        <v>436</v>
      </c>
      <c r="F16" s="35" t="s">
        <v>906</v>
      </c>
      <c r="G16" s="39" t="s">
        <v>301</v>
      </c>
      <c r="H16" s="13" t="s">
        <v>32</v>
      </c>
      <c r="I16" s="13" t="s">
        <v>97</v>
      </c>
      <c r="J16" s="313">
        <v>44028</v>
      </c>
      <c r="K16" s="33" t="s">
        <v>39</v>
      </c>
      <c r="L16" s="308">
        <v>4989197</v>
      </c>
      <c r="M16" s="299" t="s">
        <v>828</v>
      </c>
    </row>
    <row r="17" spans="2:13" ht="14.4" x14ac:dyDescent="0.3">
      <c r="B17" s="39">
        <v>44026</v>
      </c>
      <c r="C17" s="173" t="s">
        <v>911</v>
      </c>
      <c r="D17" s="12" t="s">
        <v>31</v>
      </c>
      <c r="E17" s="24" t="s">
        <v>436</v>
      </c>
      <c r="F17" s="35" t="s">
        <v>906</v>
      </c>
      <c r="G17" s="39" t="s">
        <v>301</v>
      </c>
      <c r="H17" s="13" t="s">
        <v>32</v>
      </c>
      <c r="I17" s="13" t="s">
        <v>97</v>
      </c>
      <c r="J17" s="312">
        <v>44028</v>
      </c>
      <c r="K17" s="33" t="s">
        <v>39</v>
      </c>
      <c r="L17" s="308">
        <v>4989197</v>
      </c>
      <c r="M17" s="299" t="s">
        <v>828</v>
      </c>
    </row>
    <row r="18" spans="2:13" ht="14.4" x14ac:dyDescent="0.3">
      <c r="B18" s="39">
        <v>44026</v>
      </c>
      <c r="C18" s="33" t="s">
        <v>912</v>
      </c>
      <c r="D18" s="12" t="s">
        <v>31</v>
      </c>
      <c r="E18" s="24" t="s">
        <v>436</v>
      </c>
      <c r="F18" s="35" t="s">
        <v>906</v>
      </c>
      <c r="G18" s="39" t="s">
        <v>301</v>
      </c>
      <c r="H18" s="13" t="s">
        <v>32</v>
      </c>
      <c r="I18" s="13" t="s">
        <v>97</v>
      </c>
      <c r="J18" s="311">
        <v>44028</v>
      </c>
      <c r="K18" s="33" t="s">
        <v>39</v>
      </c>
      <c r="L18" s="308">
        <v>4989197</v>
      </c>
      <c r="M18" s="299" t="s">
        <v>828</v>
      </c>
    </row>
    <row r="19" spans="2:13" ht="14.4" x14ac:dyDescent="0.3">
      <c r="B19" s="39">
        <v>44026</v>
      </c>
      <c r="C19" s="43" t="s">
        <v>914</v>
      </c>
      <c r="D19" s="12" t="s">
        <v>31</v>
      </c>
      <c r="E19" s="24" t="s">
        <v>436</v>
      </c>
      <c r="F19" s="35" t="s">
        <v>906</v>
      </c>
      <c r="G19" s="39" t="s">
        <v>301</v>
      </c>
      <c r="H19" s="13" t="s">
        <v>32</v>
      </c>
      <c r="I19" s="13" t="s">
        <v>97</v>
      </c>
      <c r="J19" s="311">
        <v>44028</v>
      </c>
      <c r="K19" s="33" t="s">
        <v>39</v>
      </c>
      <c r="L19" s="308">
        <v>4989197</v>
      </c>
      <c r="M19" s="299" t="s">
        <v>828</v>
      </c>
    </row>
    <row r="20" spans="2:13" ht="14.4" x14ac:dyDescent="0.3">
      <c r="B20" s="39">
        <v>44026</v>
      </c>
      <c r="C20" s="34" t="s">
        <v>915</v>
      </c>
      <c r="D20" s="12" t="s">
        <v>31</v>
      </c>
      <c r="E20" s="24" t="s">
        <v>436</v>
      </c>
      <c r="F20" s="24" t="s">
        <v>906</v>
      </c>
      <c r="G20" s="39" t="s">
        <v>301</v>
      </c>
      <c r="H20" s="13" t="s">
        <v>32</v>
      </c>
      <c r="I20" s="13" t="s">
        <v>97</v>
      </c>
      <c r="J20" s="312">
        <v>44028</v>
      </c>
      <c r="K20" s="33" t="s">
        <v>39</v>
      </c>
      <c r="L20" s="308">
        <v>4989197</v>
      </c>
      <c r="M20" s="299" t="s">
        <v>828</v>
      </c>
    </row>
    <row r="21" spans="2:13" ht="14.4" x14ac:dyDescent="0.3">
      <c r="B21" s="39">
        <v>44026</v>
      </c>
      <c r="C21" s="34" t="s">
        <v>916</v>
      </c>
      <c r="D21" s="12" t="s">
        <v>31</v>
      </c>
      <c r="E21" s="24" t="s">
        <v>436</v>
      </c>
      <c r="F21" s="35" t="s">
        <v>906</v>
      </c>
      <c r="G21" s="39" t="s">
        <v>301</v>
      </c>
      <c r="H21" s="13" t="s">
        <v>32</v>
      </c>
      <c r="I21" s="13" t="s">
        <v>97</v>
      </c>
      <c r="J21" s="312">
        <v>44028</v>
      </c>
      <c r="K21" s="33" t="s">
        <v>39</v>
      </c>
      <c r="L21" s="308">
        <v>4989197</v>
      </c>
      <c r="M21" s="299" t="s">
        <v>828</v>
      </c>
    </row>
    <row r="22" spans="2:13" ht="14.4" x14ac:dyDescent="0.3">
      <c r="B22" s="39">
        <v>44026</v>
      </c>
      <c r="C22" s="37" t="s">
        <v>917</v>
      </c>
      <c r="D22" s="14" t="s">
        <v>31</v>
      </c>
      <c r="E22" s="24" t="s">
        <v>436</v>
      </c>
      <c r="F22" s="35" t="s">
        <v>906</v>
      </c>
      <c r="G22" s="39" t="s">
        <v>301</v>
      </c>
      <c r="H22" s="13" t="s">
        <v>32</v>
      </c>
      <c r="I22" s="36" t="s">
        <v>97</v>
      </c>
      <c r="J22" s="313">
        <v>44028</v>
      </c>
      <c r="K22" s="37" t="s">
        <v>39</v>
      </c>
      <c r="L22" s="308">
        <v>4989197</v>
      </c>
      <c r="M22" s="299" t="s">
        <v>828</v>
      </c>
    </row>
    <row r="23" spans="2:13" ht="14.4" x14ac:dyDescent="0.3">
      <c r="B23" s="39">
        <v>44026</v>
      </c>
      <c r="C23" s="37" t="s">
        <v>918</v>
      </c>
      <c r="D23" s="14" t="s">
        <v>31</v>
      </c>
      <c r="E23" s="24" t="s">
        <v>436</v>
      </c>
      <c r="F23" s="35" t="s">
        <v>906</v>
      </c>
      <c r="G23" s="39" t="s">
        <v>301</v>
      </c>
      <c r="H23" s="36" t="s">
        <v>32</v>
      </c>
      <c r="I23" s="36" t="s">
        <v>97</v>
      </c>
      <c r="J23" s="313">
        <v>44028</v>
      </c>
      <c r="K23" s="37" t="s">
        <v>39</v>
      </c>
      <c r="L23" s="308">
        <v>4989197</v>
      </c>
      <c r="M23" s="299" t="s">
        <v>828</v>
      </c>
    </row>
    <row r="24" spans="2:13" ht="14.4" x14ac:dyDescent="0.3">
      <c r="B24" s="13">
        <v>44026</v>
      </c>
      <c r="C24" s="33" t="s">
        <v>919</v>
      </c>
      <c r="D24" s="24" t="s">
        <v>31</v>
      </c>
      <c r="E24" s="24" t="s">
        <v>436</v>
      </c>
      <c r="F24" s="35" t="s">
        <v>906</v>
      </c>
      <c r="G24" s="39" t="s">
        <v>301</v>
      </c>
      <c r="H24" s="13" t="s">
        <v>32</v>
      </c>
      <c r="I24" s="12" t="s">
        <v>97</v>
      </c>
      <c r="J24" s="311">
        <v>44028</v>
      </c>
      <c r="K24" s="33" t="s">
        <v>39</v>
      </c>
      <c r="L24" s="308">
        <v>4989197</v>
      </c>
      <c r="M24" s="299" t="s">
        <v>828</v>
      </c>
    </row>
    <row r="25" spans="2:13" ht="14.4" x14ac:dyDescent="0.3">
      <c r="B25" s="39">
        <v>44026</v>
      </c>
      <c r="C25" s="34" t="s">
        <v>920</v>
      </c>
      <c r="D25" s="12" t="s">
        <v>31</v>
      </c>
      <c r="E25" s="24" t="s">
        <v>436</v>
      </c>
      <c r="F25" s="35" t="s">
        <v>906</v>
      </c>
      <c r="G25" s="39" t="s">
        <v>301</v>
      </c>
      <c r="H25" s="13" t="s">
        <v>32</v>
      </c>
      <c r="I25" s="13" t="s">
        <v>97</v>
      </c>
      <c r="J25" s="312">
        <v>44028</v>
      </c>
      <c r="K25" s="33" t="s">
        <v>39</v>
      </c>
      <c r="L25" s="308">
        <v>4989197</v>
      </c>
      <c r="M25" s="299" t="s">
        <v>828</v>
      </c>
    </row>
    <row r="26" spans="2:13" ht="14.4" x14ac:dyDescent="0.3">
      <c r="B26" s="39">
        <v>44026</v>
      </c>
      <c r="C26" s="33" t="s">
        <v>921</v>
      </c>
      <c r="D26" s="12" t="s">
        <v>31</v>
      </c>
      <c r="E26" s="24" t="s">
        <v>436</v>
      </c>
      <c r="F26" s="35" t="s">
        <v>906</v>
      </c>
      <c r="G26" s="39" t="s">
        <v>301</v>
      </c>
      <c r="H26" s="13" t="s">
        <v>32</v>
      </c>
      <c r="I26" s="13" t="s">
        <v>97</v>
      </c>
      <c r="J26" s="312">
        <v>44028</v>
      </c>
      <c r="K26" s="33" t="s">
        <v>39</v>
      </c>
      <c r="L26" s="308">
        <v>4989197</v>
      </c>
      <c r="M26" s="299" t="s">
        <v>828</v>
      </c>
    </row>
    <row r="27" spans="2:13" ht="14.4" x14ac:dyDescent="0.3">
      <c r="B27" s="39">
        <v>44026</v>
      </c>
      <c r="C27" s="34" t="s">
        <v>922</v>
      </c>
      <c r="D27" s="12" t="s">
        <v>31</v>
      </c>
      <c r="E27" s="24" t="s">
        <v>436</v>
      </c>
      <c r="F27" s="35" t="s">
        <v>906</v>
      </c>
      <c r="G27" s="39" t="s">
        <v>301</v>
      </c>
      <c r="H27" s="13" t="s">
        <v>32</v>
      </c>
      <c r="I27" s="13" t="s">
        <v>97</v>
      </c>
      <c r="J27" s="312">
        <v>44028</v>
      </c>
      <c r="K27" s="33" t="s">
        <v>39</v>
      </c>
      <c r="L27" s="308">
        <v>4989197</v>
      </c>
      <c r="M27" s="299" t="s">
        <v>828</v>
      </c>
    </row>
    <row r="28" spans="2:13" ht="14.4" x14ac:dyDescent="0.3">
      <c r="B28" s="39">
        <v>44026</v>
      </c>
      <c r="C28" s="33" t="s">
        <v>923</v>
      </c>
      <c r="D28" s="12" t="s">
        <v>31</v>
      </c>
      <c r="E28" s="24" t="s">
        <v>436</v>
      </c>
      <c r="F28" s="35" t="s">
        <v>906</v>
      </c>
      <c r="G28" s="39" t="s">
        <v>301</v>
      </c>
      <c r="H28" s="13" t="s">
        <v>32</v>
      </c>
      <c r="I28" s="13" t="s">
        <v>97</v>
      </c>
      <c r="J28" s="311">
        <v>44028</v>
      </c>
      <c r="K28" s="33" t="s">
        <v>39</v>
      </c>
      <c r="L28" s="308">
        <v>4989197</v>
      </c>
      <c r="M28" s="299" t="s">
        <v>828</v>
      </c>
    </row>
    <row r="29" spans="2:13" ht="14.4" x14ac:dyDescent="0.3">
      <c r="B29" s="39">
        <v>44026</v>
      </c>
      <c r="C29" s="33" t="s">
        <v>924</v>
      </c>
      <c r="D29" s="12" t="s">
        <v>31</v>
      </c>
      <c r="E29" s="24" t="s">
        <v>436</v>
      </c>
      <c r="F29" s="35" t="s">
        <v>906</v>
      </c>
      <c r="G29" s="39" t="s">
        <v>301</v>
      </c>
      <c r="H29" s="13" t="s">
        <v>32</v>
      </c>
      <c r="I29" s="13" t="s">
        <v>97</v>
      </c>
      <c r="J29" s="312">
        <v>44028</v>
      </c>
      <c r="K29" s="33" t="s">
        <v>39</v>
      </c>
      <c r="L29" s="308">
        <v>4989197</v>
      </c>
      <c r="M29" s="299" t="s">
        <v>828</v>
      </c>
    </row>
    <row r="30" spans="2:13" ht="14.4" x14ac:dyDescent="0.3">
      <c r="B30" s="39">
        <v>44026</v>
      </c>
      <c r="C30" s="173" t="s">
        <v>925</v>
      </c>
      <c r="D30" s="12" t="s">
        <v>31</v>
      </c>
      <c r="E30" s="24" t="s">
        <v>436</v>
      </c>
      <c r="F30" s="34" t="s">
        <v>906</v>
      </c>
      <c r="G30" s="39" t="s">
        <v>301</v>
      </c>
      <c r="H30" s="13" t="s">
        <v>32</v>
      </c>
      <c r="I30" s="13" t="s">
        <v>97</v>
      </c>
      <c r="J30" s="312">
        <v>44028</v>
      </c>
      <c r="K30" s="33" t="s">
        <v>39</v>
      </c>
      <c r="L30" s="308">
        <v>4989197</v>
      </c>
      <c r="M30" s="299" t="s">
        <v>828</v>
      </c>
    </row>
    <row r="31" spans="2:13" ht="14.4" x14ac:dyDescent="0.3">
      <c r="B31" s="39">
        <v>44026</v>
      </c>
      <c r="C31" s="35" t="s">
        <v>926</v>
      </c>
      <c r="D31" s="12" t="s">
        <v>31</v>
      </c>
      <c r="E31" s="24" t="s">
        <v>436</v>
      </c>
      <c r="F31" s="24" t="s">
        <v>906</v>
      </c>
      <c r="G31" s="39" t="s">
        <v>301</v>
      </c>
      <c r="H31" s="13" t="s">
        <v>32</v>
      </c>
      <c r="I31" s="13" t="s">
        <v>97</v>
      </c>
      <c r="J31" s="312">
        <v>44028</v>
      </c>
      <c r="K31" s="33" t="s">
        <v>39</v>
      </c>
      <c r="L31" s="308">
        <v>4989197</v>
      </c>
      <c r="M31" s="299" t="s">
        <v>828</v>
      </c>
    </row>
    <row r="32" spans="2:13" ht="14.4" x14ac:dyDescent="0.3">
      <c r="B32" s="39">
        <v>44026</v>
      </c>
      <c r="C32" s="24" t="s">
        <v>927</v>
      </c>
      <c r="D32" s="12" t="s">
        <v>31</v>
      </c>
      <c r="E32" s="24" t="s">
        <v>436</v>
      </c>
      <c r="F32" s="35" t="s">
        <v>906</v>
      </c>
      <c r="G32" s="39" t="s">
        <v>301</v>
      </c>
      <c r="H32" s="13" t="s">
        <v>32</v>
      </c>
      <c r="I32" s="13" t="s">
        <v>97</v>
      </c>
      <c r="J32" s="312">
        <v>44028</v>
      </c>
      <c r="K32" s="12" t="s">
        <v>39</v>
      </c>
      <c r="L32" s="308">
        <v>4989197</v>
      </c>
      <c r="M32" s="299" t="s">
        <v>828</v>
      </c>
    </row>
    <row r="33" spans="2:13" ht="14.4" x14ac:dyDescent="0.3">
      <c r="B33" s="39">
        <v>44026</v>
      </c>
      <c r="C33" s="24" t="s">
        <v>928</v>
      </c>
      <c r="D33" s="12" t="s">
        <v>31</v>
      </c>
      <c r="E33" s="24" t="s">
        <v>436</v>
      </c>
      <c r="F33" s="35" t="s">
        <v>906</v>
      </c>
      <c r="G33" s="39" t="s">
        <v>301</v>
      </c>
      <c r="H33" s="13" t="s">
        <v>32</v>
      </c>
      <c r="I33" s="13" t="s">
        <v>97</v>
      </c>
      <c r="J33" s="312">
        <v>44028</v>
      </c>
      <c r="K33" s="12" t="s">
        <v>39</v>
      </c>
      <c r="L33" s="308">
        <v>4989197</v>
      </c>
      <c r="M33" s="299" t="s">
        <v>828</v>
      </c>
    </row>
    <row r="34" spans="2:13" ht="14.4" x14ac:dyDescent="0.3">
      <c r="B34" s="39">
        <v>44026</v>
      </c>
      <c r="C34" s="12" t="s">
        <v>929</v>
      </c>
      <c r="D34" s="12" t="s">
        <v>31</v>
      </c>
      <c r="E34" s="24" t="s">
        <v>436</v>
      </c>
      <c r="F34" s="35" t="s">
        <v>906</v>
      </c>
      <c r="G34" s="39" t="s">
        <v>301</v>
      </c>
      <c r="H34" s="13" t="s">
        <v>32</v>
      </c>
      <c r="I34" s="13" t="s">
        <v>97</v>
      </c>
      <c r="J34" s="313">
        <v>44028</v>
      </c>
      <c r="K34" s="12" t="s">
        <v>39</v>
      </c>
      <c r="L34" s="308">
        <v>4989197</v>
      </c>
      <c r="M34" s="299" t="s">
        <v>828</v>
      </c>
    </row>
    <row r="35" spans="2:13" ht="14.4" x14ac:dyDescent="0.3">
      <c r="B35" s="39">
        <v>44026</v>
      </c>
      <c r="C35" s="12" t="s">
        <v>930</v>
      </c>
      <c r="D35" s="12" t="s">
        <v>31</v>
      </c>
      <c r="E35" s="24" t="s">
        <v>436</v>
      </c>
      <c r="F35" s="35" t="s">
        <v>906</v>
      </c>
      <c r="G35" s="39" t="s">
        <v>301</v>
      </c>
      <c r="H35" s="13" t="s">
        <v>32</v>
      </c>
      <c r="I35" s="13" t="s">
        <v>97</v>
      </c>
      <c r="J35" s="313">
        <v>44028</v>
      </c>
      <c r="K35" s="12" t="s">
        <v>39</v>
      </c>
      <c r="L35" s="308">
        <v>4989197</v>
      </c>
      <c r="M35" s="299" t="s">
        <v>828</v>
      </c>
    </row>
    <row r="36" spans="2:13" ht="14.4" x14ac:dyDescent="0.3">
      <c r="B36" s="39">
        <v>44039</v>
      </c>
      <c r="C36" s="24" t="s">
        <v>735</v>
      </c>
      <c r="D36" s="12" t="s">
        <v>31</v>
      </c>
      <c r="E36" s="35" t="s">
        <v>412</v>
      </c>
      <c r="F36" s="35" t="s">
        <v>149</v>
      </c>
      <c r="G36" s="39" t="s">
        <v>826</v>
      </c>
      <c r="H36" s="13" t="s">
        <v>827</v>
      </c>
      <c r="I36" s="13" t="s">
        <v>97</v>
      </c>
      <c r="J36" s="313">
        <v>44041</v>
      </c>
      <c r="K36" s="12" t="s">
        <v>33</v>
      </c>
      <c r="L36" s="308">
        <v>6789840</v>
      </c>
      <c r="M36" s="299" t="s">
        <v>828</v>
      </c>
    </row>
    <row r="37" spans="2:13" ht="14.4" x14ac:dyDescent="0.3">
      <c r="B37" s="39">
        <v>44039</v>
      </c>
      <c r="C37" s="12" t="s">
        <v>904</v>
      </c>
      <c r="D37" s="12" t="s">
        <v>31</v>
      </c>
      <c r="E37" s="24" t="s">
        <v>412</v>
      </c>
      <c r="F37" s="12" t="s">
        <v>149</v>
      </c>
      <c r="G37" s="39" t="s">
        <v>826</v>
      </c>
      <c r="H37" s="13" t="s">
        <v>827</v>
      </c>
      <c r="I37" s="13" t="s">
        <v>97</v>
      </c>
      <c r="J37" s="313">
        <v>44041</v>
      </c>
      <c r="K37" s="12" t="s">
        <v>33</v>
      </c>
      <c r="L37" s="308">
        <v>6789840</v>
      </c>
      <c r="M37" s="299" t="s">
        <v>828</v>
      </c>
    </row>
    <row r="38" spans="2:13" ht="14.4" x14ac:dyDescent="0.3">
      <c r="B38" s="39">
        <v>44026</v>
      </c>
      <c r="C38" s="12" t="s">
        <v>913</v>
      </c>
      <c r="D38" s="12" t="s">
        <v>31</v>
      </c>
      <c r="E38" s="24" t="s">
        <v>412</v>
      </c>
      <c r="F38" s="35"/>
      <c r="G38" s="39"/>
      <c r="H38" s="13"/>
      <c r="I38" s="13" t="s">
        <v>97</v>
      </c>
      <c r="J38" s="312"/>
      <c r="K38" s="20"/>
      <c r="L38" s="308">
        <v>10234333</v>
      </c>
      <c r="M38" s="299" t="s">
        <v>828</v>
      </c>
    </row>
    <row r="39" spans="2:13" ht="14.4" x14ac:dyDescent="0.3">
      <c r="B39" s="39">
        <v>44040</v>
      </c>
      <c r="C39" s="24" t="s">
        <v>735</v>
      </c>
      <c r="D39" s="12" t="s">
        <v>31</v>
      </c>
      <c r="E39" s="24" t="s">
        <v>412</v>
      </c>
      <c r="F39" s="35" t="s">
        <v>149</v>
      </c>
      <c r="G39" s="39" t="s">
        <v>304</v>
      </c>
      <c r="H39" s="13" t="s">
        <v>38</v>
      </c>
      <c r="I39" s="13" t="s">
        <v>97</v>
      </c>
      <c r="J39" s="313">
        <v>44041</v>
      </c>
      <c r="K39" s="12" t="s">
        <v>33</v>
      </c>
      <c r="L39" s="308">
        <v>6789840</v>
      </c>
      <c r="M39" s="299" t="s">
        <v>828</v>
      </c>
    </row>
    <row r="40" spans="2:13" ht="14.4" x14ac:dyDescent="0.3">
      <c r="B40" s="39">
        <v>44040</v>
      </c>
      <c r="C40" s="24" t="s">
        <v>904</v>
      </c>
      <c r="D40" s="12" t="s">
        <v>31</v>
      </c>
      <c r="E40" s="24" t="s">
        <v>412</v>
      </c>
      <c r="F40" s="35" t="s">
        <v>149</v>
      </c>
      <c r="G40" s="39" t="s">
        <v>304</v>
      </c>
      <c r="H40" s="13" t="s">
        <v>38</v>
      </c>
      <c r="I40" s="13" t="s">
        <v>97</v>
      </c>
      <c r="J40" s="313">
        <v>44041</v>
      </c>
      <c r="K40" s="12" t="s">
        <v>33</v>
      </c>
      <c r="L40" s="308">
        <v>6789840</v>
      </c>
      <c r="M40" s="299" t="s">
        <v>828</v>
      </c>
    </row>
    <row r="41" spans="2:13" ht="14.4" x14ac:dyDescent="0.3">
      <c r="B41" s="39">
        <v>44036</v>
      </c>
      <c r="C41" s="24" t="s">
        <v>931</v>
      </c>
      <c r="D41" s="12" t="s">
        <v>31</v>
      </c>
      <c r="E41" s="24" t="s">
        <v>358</v>
      </c>
      <c r="F41" s="35" t="s">
        <v>932</v>
      </c>
      <c r="G41" s="39" t="s">
        <v>304</v>
      </c>
      <c r="H41" s="13" t="s">
        <v>38</v>
      </c>
      <c r="I41" s="13" t="s">
        <v>97</v>
      </c>
      <c r="J41" s="312">
        <v>44036</v>
      </c>
      <c r="K41" s="12" t="s">
        <v>39</v>
      </c>
      <c r="L41" s="308">
        <v>6662500</v>
      </c>
      <c r="M41" s="299" t="s">
        <v>828</v>
      </c>
    </row>
    <row r="42" spans="2:13" ht="14.4" x14ac:dyDescent="0.3">
      <c r="B42" s="39">
        <v>44036</v>
      </c>
      <c r="C42" s="24" t="s">
        <v>933</v>
      </c>
      <c r="D42" s="12" t="s">
        <v>31</v>
      </c>
      <c r="E42" s="24" t="s">
        <v>358</v>
      </c>
      <c r="F42" s="35" t="s">
        <v>932</v>
      </c>
      <c r="G42" s="39" t="s">
        <v>304</v>
      </c>
      <c r="H42" s="13" t="s">
        <v>38</v>
      </c>
      <c r="I42" s="13" t="s">
        <v>97</v>
      </c>
      <c r="J42" s="312">
        <v>44036</v>
      </c>
      <c r="K42" s="12" t="s">
        <v>39</v>
      </c>
      <c r="L42" s="308">
        <v>6662500</v>
      </c>
      <c r="M42" s="299" t="s">
        <v>828</v>
      </c>
    </row>
    <row r="43" spans="2:13" ht="14.4" x14ac:dyDescent="0.3">
      <c r="B43" s="39">
        <v>44013</v>
      </c>
      <c r="C43" s="35" t="s">
        <v>889</v>
      </c>
      <c r="D43" s="12" t="s">
        <v>36</v>
      </c>
      <c r="E43" s="24" t="s">
        <v>158</v>
      </c>
      <c r="F43" s="35" t="s">
        <v>878</v>
      </c>
      <c r="G43" s="39" t="s">
        <v>116</v>
      </c>
      <c r="H43" s="13" t="s">
        <v>891</v>
      </c>
      <c r="I43" s="13" t="s">
        <v>81</v>
      </c>
      <c r="J43" s="311">
        <v>44013</v>
      </c>
      <c r="K43" s="12" t="s">
        <v>33</v>
      </c>
      <c r="L43" s="308">
        <v>1255262</v>
      </c>
      <c r="M43" s="299" t="s">
        <v>828</v>
      </c>
    </row>
    <row r="44" spans="2:13" ht="14.4" x14ac:dyDescent="0.3">
      <c r="B44" s="39">
        <v>44013</v>
      </c>
      <c r="C44" s="35" t="s">
        <v>890</v>
      </c>
      <c r="D44" s="12" t="s">
        <v>36</v>
      </c>
      <c r="E44" s="24" t="s">
        <v>158</v>
      </c>
      <c r="F44" s="24" t="s">
        <v>878</v>
      </c>
      <c r="G44" s="39" t="s">
        <v>116</v>
      </c>
      <c r="H44" s="13" t="s">
        <v>891</v>
      </c>
      <c r="I44" s="13" t="s">
        <v>81</v>
      </c>
      <c r="J44" s="311">
        <v>44013</v>
      </c>
      <c r="K44" s="12" t="s">
        <v>33</v>
      </c>
      <c r="L44" s="308">
        <v>536339</v>
      </c>
      <c r="M44" s="299" t="s">
        <v>828</v>
      </c>
    </row>
    <row r="45" spans="2:13" ht="30" customHeight="1" x14ac:dyDescent="0.3">
      <c r="L45" s="310">
        <f>SUM(L2:L44)</f>
        <v>222183696</v>
      </c>
    </row>
  </sheetData>
  <autoFilter ref="B1:M45">
    <sortState ref="B2:M51">
      <sortCondition ref="E1"/>
    </sortState>
  </autoFilter>
  <dataValidations count="6"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/>
    <dataValidation allowBlank="1" showInputMessage="1" showErrorMessage="1" prompt="Гиперссылка для перехода к сводному листу" sqref="D1"/>
    <dataValidation allowBlank="1" showInputMessage="1" showErrorMessage="1" prompt="Гиперссылка для перехода к листу советов" sqref="E1"/>
    <dataValidation type="list" errorStyle="warning" allowBlank="1" showInputMessage="1" showErrorMessage="1" error="Чтобы добавить пункт расхода в сводный лист, его нужно выбрать в раскрывающемся списке." sqref="D2:D6">
      <formula1>КатегорииРасходов</formula1>
    </dataValidation>
    <dataValidation type="custom" errorStyle="warning" allowBlank="1" showInputMessage="1" showErrorMessage="1" errorTitle="Проверка суммы" error="Сумма должна быть числом." sqref="C2:C6">
      <formula1>ISNUMBER($C2)</formula1>
    </dataValidation>
    <dataValidation type="custom" errorStyle="warning" allowBlank="1" showInputMessage="1" showErrorMessage="1" error="Чтобы добавить этот пункт расходов в сводный лист, необходимо указать дату за июль." sqref="A2:A6">
      <formula1>MONTH($A2)=7</formula1>
    </dataValidation>
  </dataValidations>
  <printOptions horizontalCentered="1"/>
  <pageMargins left="0.7" right="0.7" top="0.75" bottom="0.75" header="0.3" footer="0.3"/>
  <pageSetup paperSize="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/>
    <pageSetUpPr autoPageBreaks="0" fitToPage="1"/>
  </sheetPr>
  <dimension ref="A1:M192"/>
  <sheetViews>
    <sheetView showGridLines="0" zoomScale="85" zoomScaleNormal="85" workbookViewId="0">
      <selection activeCell="G176" sqref="G176"/>
    </sheetView>
  </sheetViews>
  <sheetFormatPr defaultColWidth="9.109375" defaultRowHeight="13.8" x14ac:dyDescent="0.3"/>
  <cols>
    <col min="1" max="1" width="2.88671875" style="50" bestFit="1" customWidth="1"/>
    <col min="2" max="2" width="10.33203125" style="50" bestFit="1" customWidth="1"/>
    <col min="3" max="3" width="44.109375" style="55" bestFit="1" customWidth="1"/>
    <col min="4" max="4" width="12.33203125" style="50" bestFit="1" customWidth="1"/>
    <col min="5" max="5" width="26.88671875" style="50" bestFit="1" customWidth="1"/>
    <col min="6" max="6" width="24.5546875" style="50" bestFit="1" customWidth="1"/>
    <col min="7" max="7" width="20.109375" style="50" bestFit="1" customWidth="1"/>
    <col min="8" max="8" width="25.109375" style="50" bestFit="1" customWidth="1"/>
    <col min="9" max="9" width="12.109375" style="50" bestFit="1" customWidth="1"/>
    <col min="10" max="10" width="15.109375" style="319" bestFit="1" customWidth="1"/>
    <col min="11" max="11" width="13.88671875" style="323" bestFit="1" customWidth="1"/>
    <col min="12" max="12" width="21.88671875" style="61" bestFit="1" customWidth="1"/>
    <col min="13" max="13" width="14.44140625" style="50" customWidth="1"/>
    <col min="14" max="16384" width="9.109375" style="50"/>
  </cols>
  <sheetData>
    <row r="1" spans="1:13" s="145" customFormat="1" x14ac:dyDescent="0.3">
      <c r="A1" s="141"/>
      <c r="B1" s="141"/>
      <c r="C1" s="142"/>
      <c r="D1" s="141"/>
      <c r="E1" s="141"/>
      <c r="F1" s="141"/>
      <c r="G1" s="141"/>
      <c r="H1" s="141"/>
      <c r="I1" s="143"/>
      <c r="J1" s="318"/>
      <c r="K1" s="144"/>
      <c r="L1" s="321"/>
      <c r="M1" s="144"/>
    </row>
    <row r="2" spans="1:13" ht="14.4" x14ac:dyDescent="0.3">
      <c r="A2" s="51"/>
      <c r="B2" s="47">
        <v>44053</v>
      </c>
      <c r="C2" s="164" t="s">
        <v>1023</v>
      </c>
      <c r="D2" s="162" t="s">
        <v>31</v>
      </c>
      <c r="E2" s="162" t="s">
        <v>1021</v>
      </c>
      <c r="F2" s="162" t="s">
        <v>1024</v>
      </c>
      <c r="G2" s="163" t="s">
        <v>1025</v>
      </c>
      <c r="H2" s="163" t="s">
        <v>32</v>
      </c>
      <c r="I2" s="164" t="s">
        <v>97</v>
      </c>
      <c r="J2" s="324">
        <v>44054</v>
      </c>
      <c r="K2" s="315" t="s">
        <v>33</v>
      </c>
      <c r="L2" s="322">
        <v>6970000</v>
      </c>
      <c r="M2" s="51" t="s">
        <v>828</v>
      </c>
    </row>
    <row r="3" spans="1:13" ht="14.4" x14ac:dyDescent="0.3">
      <c r="A3" s="51"/>
      <c r="B3" s="47">
        <v>44053</v>
      </c>
      <c r="C3" s="164" t="s">
        <v>1026</v>
      </c>
      <c r="D3" s="162" t="s">
        <v>31</v>
      </c>
      <c r="E3" s="162" t="s">
        <v>1021</v>
      </c>
      <c r="F3" s="162" t="s">
        <v>1024</v>
      </c>
      <c r="G3" s="163" t="s">
        <v>1025</v>
      </c>
      <c r="H3" s="163" t="s">
        <v>32</v>
      </c>
      <c r="I3" s="164" t="s">
        <v>97</v>
      </c>
      <c r="J3" s="324">
        <v>44054</v>
      </c>
      <c r="K3" s="315" t="s">
        <v>33</v>
      </c>
      <c r="L3" s="322">
        <v>6970000</v>
      </c>
      <c r="M3" s="51" t="s">
        <v>828</v>
      </c>
    </row>
    <row r="4" spans="1:13" ht="14.4" x14ac:dyDescent="0.3">
      <c r="A4" s="51"/>
      <c r="B4" s="53">
        <v>44053</v>
      </c>
      <c r="C4" s="164" t="s">
        <v>1039</v>
      </c>
      <c r="D4" s="162" t="s">
        <v>31</v>
      </c>
      <c r="E4" s="162" t="s">
        <v>445</v>
      </c>
      <c r="F4" s="162" t="s">
        <v>1040</v>
      </c>
      <c r="G4" s="163" t="s">
        <v>1041</v>
      </c>
      <c r="H4" s="163" t="s">
        <v>32</v>
      </c>
      <c r="I4" s="164" t="s">
        <v>97</v>
      </c>
      <c r="J4" s="324">
        <v>44054</v>
      </c>
      <c r="K4" s="315" t="s">
        <v>33</v>
      </c>
      <c r="L4" s="322">
        <v>6970000</v>
      </c>
      <c r="M4" s="49" t="s">
        <v>828</v>
      </c>
    </row>
    <row r="5" spans="1:13" ht="14.4" x14ac:dyDescent="0.3">
      <c r="A5" s="51"/>
      <c r="B5" s="316">
        <v>44061</v>
      </c>
      <c r="C5" s="162" t="s">
        <v>1053</v>
      </c>
      <c r="D5" s="162" t="s">
        <v>31</v>
      </c>
      <c r="E5" s="162" t="s">
        <v>445</v>
      </c>
      <c r="F5" s="162" t="s">
        <v>1054</v>
      </c>
      <c r="G5" s="163" t="s">
        <v>116</v>
      </c>
      <c r="H5" s="163" t="s">
        <v>32</v>
      </c>
      <c r="I5" s="164" t="s">
        <v>97</v>
      </c>
      <c r="J5" s="163">
        <v>44062</v>
      </c>
      <c r="K5" s="315" t="s">
        <v>33</v>
      </c>
      <c r="L5" s="322">
        <v>6180000</v>
      </c>
      <c r="M5" s="320" t="s">
        <v>828</v>
      </c>
    </row>
    <row r="6" spans="1:13" ht="14.4" x14ac:dyDescent="0.3">
      <c r="A6" s="51"/>
      <c r="B6" s="316">
        <v>44061</v>
      </c>
      <c r="C6" s="162" t="s">
        <v>991</v>
      </c>
      <c r="D6" s="162" t="s">
        <v>31</v>
      </c>
      <c r="E6" s="162" t="s">
        <v>1143</v>
      </c>
      <c r="F6" s="162" t="s">
        <v>992</v>
      </c>
      <c r="G6" s="163" t="s">
        <v>301</v>
      </c>
      <c r="H6" s="163" t="s">
        <v>32</v>
      </c>
      <c r="I6" s="164" t="s">
        <v>97</v>
      </c>
      <c r="J6" s="163">
        <v>44062</v>
      </c>
      <c r="K6" s="315" t="s">
        <v>33</v>
      </c>
      <c r="L6" s="322">
        <v>5974000</v>
      </c>
      <c r="M6" s="320" t="s">
        <v>828</v>
      </c>
    </row>
    <row r="7" spans="1:13" ht="14.4" x14ac:dyDescent="0.3">
      <c r="A7" s="51"/>
      <c r="B7" s="316">
        <v>44061</v>
      </c>
      <c r="C7" s="162" t="s">
        <v>993</v>
      </c>
      <c r="D7" s="162" t="s">
        <v>31</v>
      </c>
      <c r="E7" s="162" t="s">
        <v>1143</v>
      </c>
      <c r="F7" s="162" t="s">
        <v>992</v>
      </c>
      <c r="G7" s="163" t="s">
        <v>301</v>
      </c>
      <c r="H7" s="163" t="s">
        <v>32</v>
      </c>
      <c r="I7" s="164" t="s">
        <v>97</v>
      </c>
      <c r="J7" s="163">
        <v>44062</v>
      </c>
      <c r="K7" s="315" t="s">
        <v>33</v>
      </c>
      <c r="L7" s="322">
        <v>5974000</v>
      </c>
      <c r="M7" s="320" t="s">
        <v>828</v>
      </c>
    </row>
    <row r="8" spans="1:13" ht="14.4" x14ac:dyDescent="0.3">
      <c r="A8" s="51"/>
      <c r="B8" s="316">
        <v>44061</v>
      </c>
      <c r="C8" s="162" t="s">
        <v>994</v>
      </c>
      <c r="D8" s="162" t="s">
        <v>31</v>
      </c>
      <c r="E8" s="162" t="s">
        <v>1143</v>
      </c>
      <c r="F8" s="162" t="s">
        <v>992</v>
      </c>
      <c r="G8" s="163" t="s">
        <v>301</v>
      </c>
      <c r="H8" s="163" t="s">
        <v>32</v>
      </c>
      <c r="I8" s="164" t="s">
        <v>97</v>
      </c>
      <c r="J8" s="163">
        <v>44062</v>
      </c>
      <c r="K8" s="315" t="s">
        <v>33</v>
      </c>
      <c r="L8" s="322">
        <v>5974000</v>
      </c>
      <c r="M8" s="320" t="s">
        <v>828</v>
      </c>
    </row>
    <row r="9" spans="1:13" ht="14.4" x14ac:dyDescent="0.3">
      <c r="A9" s="51"/>
      <c r="B9" s="316">
        <v>44072</v>
      </c>
      <c r="C9" s="162" t="s">
        <v>1012</v>
      </c>
      <c r="D9" s="162" t="s">
        <v>31</v>
      </c>
      <c r="E9" s="162" t="s">
        <v>1143</v>
      </c>
      <c r="F9" s="162" t="s">
        <v>1013</v>
      </c>
      <c r="G9" s="163" t="s">
        <v>304</v>
      </c>
      <c r="H9" s="163" t="s">
        <v>38</v>
      </c>
      <c r="I9" s="164" t="s">
        <v>97</v>
      </c>
      <c r="J9" s="163">
        <v>44072</v>
      </c>
      <c r="K9" s="315" t="s">
        <v>33</v>
      </c>
      <c r="L9" s="322">
        <v>6180000</v>
      </c>
      <c r="M9" s="320" t="s">
        <v>828</v>
      </c>
    </row>
    <row r="10" spans="1:13" ht="14.4" x14ac:dyDescent="0.3">
      <c r="A10" s="51"/>
      <c r="B10" s="316">
        <v>44072</v>
      </c>
      <c r="C10" s="162" t="s">
        <v>1014</v>
      </c>
      <c r="D10" s="162" t="s">
        <v>31</v>
      </c>
      <c r="E10" s="162" t="s">
        <v>1143</v>
      </c>
      <c r="F10" s="162" t="s">
        <v>1013</v>
      </c>
      <c r="G10" s="163" t="s">
        <v>304</v>
      </c>
      <c r="H10" s="163" t="s">
        <v>38</v>
      </c>
      <c r="I10" s="164" t="s">
        <v>97</v>
      </c>
      <c r="J10" s="163">
        <v>44072</v>
      </c>
      <c r="K10" s="315" t="s">
        <v>33</v>
      </c>
      <c r="L10" s="322">
        <v>6180000</v>
      </c>
      <c r="M10" s="320" t="s">
        <v>828</v>
      </c>
    </row>
    <row r="11" spans="1:13" ht="14.4" x14ac:dyDescent="0.3">
      <c r="A11" s="51"/>
      <c r="B11" s="316">
        <v>44072</v>
      </c>
      <c r="C11" s="162" t="s">
        <v>1015</v>
      </c>
      <c r="D11" s="162" t="s">
        <v>31</v>
      </c>
      <c r="E11" s="162" t="s">
        <v>1143</v>
      </c>
      <c r="F11" s="162" t="s">
        <v>1013</v>
      </c>
      <c r="G11" s="163" t="s">
        <v>304</v>
      </c>
      <c r="H11" s="163" t="s">
        <v>38</v>
      </c>
      <c r="I11" s="164" t="s">
        <v>97</v>
      </c>
      <c r="J11" s="163">
        <v>44072</v>
      </c>
      <c r="K11" s="315" t="s">
        <v>33</v>
      </c>
      <c r="L11" s="322">
        <v>6180000</v>
      </c>
      <c r="M11" s="320" t="s">
        <v>828</v>
      </c>
    </row>
    <row r="12" spans="1:13" ht="14.4" x14ac:dyDescent="0.3">
      <c r="A12" s="51"/>
      <c r="B12" s="53">
        <v>44051</v>
      </c>
      <c r="C12" s="165" t="s">
        <v>940</v>
      </c>
      <c r="D12" s="162" t="s">
        <v>31</v>
      </c>
      <c r="E12" s="162" t="s">
        <v>1143</v>
      </c>
      <c r="F12" s="162" t="s">
        <v>906</v>
      </c>
      <c r="G12" s="163" t="s">
        <v>301</v>
      </c>
      <c r="H12" s="163" t="s">
        <v>32</v>
      </c>
      <c r="I12" s="164" t="s">
        <v>97</v>
      </c>
      <c r="J12" s="324">
        <v>44053</v>
      </c>
      <c r="K12" s="315" t="s">
        <v>33</v>
      </c>
      <c r="L12" s="322">
        <v>6901000</v>
      </c>
      <c r="M12" s="49" t="s">
        <v>828</v>
      </c>
    </row>
    <row r="13" spans="1:13" ht="14.4" x14ac:dyDescent="0.3">
      <c r="A13" s="51"/>
      <c r="B13" s="53">
        <v>44051</v>
      </c>
      <c r="C13" s="164" t="s">
        <v>941</v>
      </c>
      <c r="D13" s="162" t="s">
        <v>31</v>
      </c>
      <c r="E13" s="162" t="s">
        <v>1143</v>
      </c>
      <c r="F13" s="162" t="s">
        <v>906</v>
      </c>
      <c r="G13" s="163" t="s">
        <v>301</v>
      </c>
      <c r="H13" s="163" t="s">
        <v>32</v>
      </c>
      <c r="I13" s="164" t="s">
        <v>97</v>
      </c>
      <c r="J13" s="324">
        <v>44053</v>
      </c>
      <c r="K13" s="315" t="s">
        <v>33</v>
      </c>
      <c r="L13" s="322">
        <v>6901000</v>
      </c>
      <c r="M13" s="51" t="s">
        <v>828</v>
      </c>
    </row>
    <row r="14" spans="1:13" ht="14.4" x14ac:dyDescent="0.3">
      <c r="A14" s="51"/>
      <c r="B14" s="53">
        <v>44051</v>
      </c>
      <c r="C14" s="164" t="s">
        <v>942</v>
      </c>
      <c r="D14" s="162" t="s">
        <v>31</v>
      </c>
      <c r="E14" s="162" t="s">
        <v>1143</v>
      </c>
      <c r="F14" s="162" t="s">
        <v>906</v>
      </c>
      <c r="G14" s="163" t="s">
        <v>301</v>
      </c>
      <c r="H14" s="163" t="s">
        <v>32</v>
      </c>
      <c r="I14" s="164" t="s">
        <v>97</v>
      </c>
      <c r="J14" s="324">
        <v>44053</v>
      </c>
      <c r="K14" s="315" t="s">
        <v>33</v>
      </c>
      <c r="L14" s="322">
        <v>6901000</v>
      </c>
      <c r="M14" s="51" t="s">
        <v>828</v>
      </c>
    </row>
    <row r="15" spans="1:13" ht="14.4" x14ac:dyDescent="0.3">
      <c r="A15" s="51"/>
      <c r="B15" s="47">
        <v>44051</v>
      </c>
      <c r="C15" s="164" t="s">
        <v>943</v>
      </c>
      <c r="D15" s="162" t="s">
        <v>31</v>
      </c>
      <c r="E15" s="162" t="s">
        <v>1143</v>
      </c>
      <c r="F15" s="162" t="s">
        <v>906</v>
      </c>
      <c r="G15" s="163" t="s">
        <v>301</v>
      </c>
      <c r="H15" s="163" t="s">
        <v>32</v>
      </c>
      <c r="I15" s="164" t="s">
        <v>97</v>
      </c>
      <c r="J15" s="324">
        <v>44053</v>
      </c>
      <c r="K15" s="315" t="s">
        <v>33</v>
      </c>
      <c r="L15" s="322">
        <v>6901000</v>
      </c>
      <c r="M15" s="51" t="s">
        <v>828</v>
      </c>
    </row>
    <row r="16" spans="1:13" ht="14.4" x14ac:dyDescent="0.3">
      <c r="A16" s="51"/>
      <c r="B16" s="53">
        <v>44051</v>
      </c>
      <c r="C16" s="164" t="s">
        <v>944</v>
      </c>
      <c r="D16" s="162" t="s">
        <v>31</v>
      </c>
      <c r="E16" s="162" t="s">
        <v>1143</v>
      </c>
      <c r="F16" s="162" t="s">
        <v>906</v>
      </c>
      <c r="G16" s="163" t="s">
        <v>301</v>
      </c>
      <c r="H16" s="163" t="s">
        <v>32</v>
      </c>
      <c r="I16" s="164" t="s">
        <v>97</v>
      </c>
      <c r="J16" s="324">
        <v>44053</v>
      </c>
      <c r="K16" s="315" t="s">
        <v>33</v>
      </c>
      <c r="L16" s="322">
        <v>6901000</v>
      </c>
      <c r="M16" s="49" t="s">
        <v>828</v>
      </c>
    </row>
    <row r="17" spans="1:13" ht="14.4" x14ac:dyDescent="0.3">
      <c r="A17" s="51"/>
      <c r="B17" s="53">
        <v>44051</v>
      </c>
      <c r="C17" s="164" t="s">
        <v>945</v>
      </c>
      <c r="D17" s="162" t="s">
        <v>31</v>
      </c>
      <c r="E17" s="162" t="s">
        <v>1143</v>
      </c>
      <c r="F17" s="162" t="s">
        <v>906</v>
      </c>
      <c r="G17" s="163" t="s">
        <v>301</v>
      </c>
      <c r="H17" s="163" t="s">
        <v>32</v>
      </c>
      <c r="I17" s="164" t="s">
        <v>97</v>
      </c>
      <c r="J17" s="324">
        <v>44053</v>
      </c>
      <c r="K17" s="315" t="s">
        <v>33</v>
      </c>
      <c r="L17" s="322">
        <v>6901000</v>
      </c>
      <c r="M17" s="51" t="s">
        <v>828</v>
      </c>
    </row>
    <row r="18" spans="1:13" ht="14.4" x14ac:dyDescent="0.3">
      <c r="A18" s="51"/>
      <c r="B18" s="47">
        <v>44051</v>
      </c>
      <c r="C18" s="164" t="s">
        <v>946</v>
      </c>
      <c r="D18" s="162" t="s">
        <v>31</v>
      </c>
      <c r="E18" s="162" t="s">
        <v>1143</v>
      </c>
      <c r="F18" s="162" t="s">
        <v>906</v>
      </c>
      <c r="G18" s="163" t="s">
        <v>301</v>
      </c>
      <c r="H18" s="163" t="s">
        <v>32</v>
      </c>
      <c r="I18" s="164" t="s">
        <v>97</v>
      </c>
      <c r="J18" s="324">
        <v>44053</v>
      </c>
      <c r="K18" s="315" t="s">
        <v>33</v>
      </c>
      <c r="L18" s="322">
        <v>6901000</v>
      </c>
      <c r="M18" s="49" t="s">
        <v>828</v>
      </c>
    </row>
    <row r="19" spans="1:13" ht="14.4" x14ac:dyDescent="0.3">
      <c r="A19" s="51"/>
      <c r="B19" s="47">
        <v>44051</v>
      </c>
      <c r="C19" s="164" t="s">
        <v>947</v>
      </c>
      <c r="D19" s="162" t="s">
        <v>31</v>
      </c>
      <c r="E19" s="162" t="s">
        <v>1143</v>
      </c>
      <c r="F19" s="162" t="s">
        <v>906</v>
      </c>
      <c r="G19" s="163" t="s">
        <v>301</v>
      </c>
      <c r="H19" s="163" t="s">
        <v>32</v>
      </c>
      <c r="I19" s="164" t="s">
        <v>97</v>
      </c>
      <c r="J19" s="324">
        <v>44053</v>
      </c>
      <c r="K19" s="315" t="s">
        <v>33</v>
      </c>
      <c r="L19" s="322">
        <v>6901000</v>
      </c>
      <c r="M19" s="49" t="s">
        <v>828</v>
      </c>
    </row>
    <row r="20" spans="1:13" ht="14.4" x14ac:dyDescent="0.3">
      <c r="A20" s="51"/>
      <c r="B20" s="47">
        <v>44051</v>
      </c>
      <c r="C20" s="164" t="s">
        <v>948</v>
      </c>
      <c r="D20" s="162" t="s">
        <v>31</v>
      </c>
      <c r="E20" s="162" t="s">
        <v>1143</v>
      </c>
      <c r="F20" s="162" t="s">
        <v>906</v>
      </c>
      <c r="G20" s="163" t="s">
        <v>301</v>
      </c>
      <c r="H20" s="163" t="s">
        <v>32</v>
      </c>
      <c r="I20" s="164" t="s">
        <v>97</v>
      </c>
      <c r="J20" s="324">
        <v>44053</v>
      </c>
      <c r="K20" s="315" t="s">
        <v>33</v>
      </c>
      <c r="L20" s="322">
        <v>6901000</v>
      </c>
      <c r="M20" s="51" t="s">
        <v>828</v>
      </c>
    </row>
    <row r="21" spans="1:13" ht="14.4" x14ac:dyDescent="0.3">
      <c r="A21" s="51"/>
      <c r="B21" s="47">
        <v>44051</v>
      </c>
      <c r="C21" s="164" t="s">
        <v>949</v>
      </c>
      <c r="D21" s="162" t="s">
        <v>31</v>
      </c>
      <c r="E21" s="162" t="s">
        <v>1143</v>
      </c>
      <c r="F21" s="162" t="s">
        <v>906</v>
      </c>
      <c r="G21" s="163" t="s">
        <v>301</v>
      </c>
      <c r="H21" s="163" t="s">
        <v>32</v>
      </c>
      <c r="I21" s="164" t="s">
        <v>97</v>
      </c>
      <c r="J21" s="324">
        <v>44053</v>
      </c>
      <c r="K21" s="315" t="s">
        <v>33</v>
      </c>
      <c r="L21" s="322">
        <v>6901000</v>
      </c>
      <c r="M21" s="49" t="s">
        <v>828</v>
      </c>
    </row>
    <row r="22" spans="1:13" ht="14.4" x14ac:dyDescent="0.3">
      <c r="A22" s="51"/>
      <c r="B22" s="53">
        <v>44051</v>
      </c>
      <c r="C22" s="164" t="s">
        <v>950</v>
      </c>
      <c r="D22" s="162" t="s">
        <v>31</v>
      </c>
      <c r="E22" s="162" t="s">
        <v>1143</v>
      </c>
      <c r="F22" s="162" t="s">
        <v>906</v>
      </c>
      <c r="G22" s="163" t="s">
        <v>301</v>
      </c>
      <c r="H22" s="163" t="s">
        <v>32</v>
      </c>
      <c r="I22" s="164" t="s">
        <v>97</v>
      </c>
      <c r="J22" s="324">
        <v>44053</v>
      </c>
      <c r="K22" s="315" t="s">
        <v>33</v>
      </c>
      <c r="L22" s="322">
        <v>6901000</v>
      </c>
      <c r="M22" s="51" t="s">
        <v>828</v>
      </c>
    </row>
    <row r="23" spans="1:13" ht="14.4" x14ac:dyDescent="0.3">
      <c r="A23" s="51"/>
      <c r="B23" s="53">
        <v>44051</v>
      </c>
      <c r="C23" s="165" t="s">
        <v>951</v>
      </c>
      <c r="D23" s="162" t="s">
        <v>31</v>
      </c>
      <c r="E23" s="162" t="s">
        <v>1143</v>
      </c>
      <c r="F23" s="162" t="s">
        <v>906</v>
      </c>
      <c r="G23" s="163" t="s">
        <v>301</v>
      </c>
      <c r="H23" s="163" t="s">
        <v>32</v>
      </c>
      <c r="I23" s="164" t="s">
        <v>97</v>
      </c>
      <c r="J23" s="324">
        <v>44053</v>
      </c>
      <c r="K23" s="315" t="s">
        <v>33</v>
      </c>
      <c r="L23" s="322">
        <v>6901000</v>
      </c>
      <c r="M23" s="51" t="s">
        <v>828</v>
      </c>
    </row>
    <row r="24" spans="1:13" ht="14.4" x14ac:dyDescent="0.3">
      <c r="A24" s="51"/>
      <c r="B24" s="53">
        <v>44051</v>
      </c>
      <c r="C24" s="164" t="s">
        <v>952</v>
      </c>
      <c r="D24" s="162" t="s">
        <v>31</v>
      </c>
      <c r="E24" s="162" t="s">
        <v>1143</v>
      </c>
      <c r="F24" s="162" t="s">
        <v>906</v>
      </c>
      <c r="G24" s="163" t="s">
        <v>301</v>
      </c>
      <c r="H24" s="163" t="s">
        <v>32</v>
      </c>
      <c r="I24" s="164" t="s">
        <v>97</v>
      </c>
      <c r="J24" s="324">
        <v>44053</v>
      </c>
      <c r="K24" s="315" t="s">
        <v>33</v>
      </c>
      <c r="L24" s="322">
        <v>6901000</v>
      </c>
      <c r="M24" s="49" t="s">
        <v>828</v>
      </c>
    </row>
    <row r="25" spans="1:13" ht="14.4" x14ac:dyDescent="0.3">
      <c r="A25" s="51"/>
      <c r="B25" s="47">
        <v>44051</v>
      </c>
      <c r="C25" s="164" t="s">
        <v>953</v>
      </c>
      <c r="D25" s="162" t="s">
        <v>31</v>
      </c>
      <c r="E25" s="162" t="s">
        <v>1143</v>
      </c>
      <c r="F25" s="162" t="s">
        <v>906</v>
      </c>
      <c r="G25" s="163" t="s">
        <v>301</v>
      </c>
      <c r="H25" s="163" t="s">
        <v>32</v>
      </c>
      <c r="I25" s="164" t="s">
        <v>97</v>
      </c>
      <c r="J25" s="324">
        <v>44053</v>
      </c>
      <c r="K25" s="315" t="s">
        <v>33</v>
      </c>
      <c r="L25" s="322">
        <v>6901000</v>
      </c>
      <c r="M25" s="49" t="s">
        <v>828</v>
      </c>
    </row>
    <row r="26" spans="1:13" ht="14.4" x14ac:dyDescent="0.3">
      <c r="A26" s="51"/>
      <c r="B26" s="53">
        <v>44051</v>
      </c>
      <c r="C26" s="164" t="s">
        <v>954</v>
      </c>
      <c r="D26" s="162" t="s">
        <v>31</v>
      </c>
      <c r="E26" s="162" t="s">
        <v>1143</v>
      </c>
      <c r="F26" s="162" t="s">
        <v>906</v>
      </c>
      <c r="G26" s="163" t="s">
        <v>301</v>
      </c>
      <c r="H26" s="163" t="s">
        <v>32</v>
      </c>
      <c r="I26" s="164" t="s">
        <v>97</v>
      </c>
      <c r="J26" s="324">
        <v>44053</v>
      </c>
      <c r="K26" s="315" t="s">
        <v>33</v>
      </c>
      <c r="L26" s="322">
        <v>6901000</v>
      </c>
      <c r="M26" s="51" t="s">
        <v>828</v>
      </c>
    </row>
    <row r="27" spans="1:13" ht="14.4" x14ac:dyDescent="0.3">
      <c r="A27" s="51"/>
      <c r="B27" s="53">
        <v>44051</v>
      </c>
      <c r="C27" s="164" t="s">
        <v>955</v>
      </c>
      <c r="D27" s="162" t="s">
        <v>31</v>
      </c>
      <c r="E27" s="162" t="s">
        <v>1143</v>
      </c>
      <c r="F27" s="162" t="s">
        <v>906</v>
      </c>
      <c r="G27" s="163" t="s">
        <v>301</v>
      </c>
      <c r="H27" s="163" t="s">
        <v>32</v>
      </c>
      <c r="I27" s="164" t="s">
        <v>97</v>
      </c>
      <c r="J27" s="324">
        <v>44053</v>
      </c>
      <c r="K27" s="315" t="s">
        <v>33</v>
      </c>
      <c r="L27" s="322">
        <v>6901000</v>
      </c>
      <c r="M27" s="51" t="s">
        <v>828</v>
      </c>
    </row>
    <row r="28" spans="1:13" ht="14.4" x14ac:dyDescent="0.3">
      <c r="A28" s="51"/>
      <c r="B28" s="47">
        <v>44051</v>
      </c>
      <c r="C28" s="164" t="s">
        <v>956</v>
      </c>
      <c r="D28" s="162" t="s">
        <v>31</v>
      </c>
      <c r="E28" s="162" t="s">
        <v>1143</v>
      </c>
      <c r="F28" s="162" t="s">
        <v>906</v>
      </c>
      <c r="G28" s="163" t="s">
        <v>301</v>
      </c>
      <c r="H28" s="163" t="s">
        <v>32</v>
      </c>
      <c r="I28" s="164" t="s">
        <v>97</v>
      </c>
      <c r="J28" s="324">
        <v>44053</v>
      </c>
      <c r="K28" s="315" t="s">
        <v>33</v>
      </c>
      <c r="L28" s="322">
        <v>6901000</v>
      </c>
      <c r="M28" s="49" t="s">
        <v>828</v>
      </c>
    </row>
    <row r="29" spans="1:13" ht="14.4" x14ac:dyDescent="0.3">
      <c r="A29" s="51"/>
      <c r="B29" s="47">
        <v>44051</v>
      </c>
      <c r="C29" s="164" t="s">
        <v>957</v>
      </c>
      <c r="D29" s="162" t="s">
        <v>31</v>
      </c>
      <c r="E29" s="162" t="s">
        <v>1143</v>
      </c>
      <c r="F29" s="162" t="s">
        <v>906</v>
      </c>
      <c r="G29" s="39" t="s">
        <v>301</v>
      </c>
      <c r="H29" s="163" t="s">
        <v>32</v>
      </c>
      <c r="I29" s="164" t="s">
        <v>97</v>
      </c>
      <c r="J29" s="324">
        <v>44053</v>
      </c>
      <c r="K29" s="315" t="s">
        <v>33</v>
      </c>
      <c r="L29" s="322">
        <v>6901000</v>
      </c>
      <c r="M29" s="49" t="s">
        <v>828</v>
      </c>
    </row>
    <row r="30" spans="1:13" ht="14.4" x14ac:dyDescent="0.3">
      <c r="A30" s="51"/>
      <c r="B30" s="47">
        <v>44051</v>
      </c>
      <c r="C30" s="164" t="s">
        <v>958</v>
      </c>
      <c r="D30" s="162" t="s">
        <v>31</v>
      </c>
      <c r="E30" s="162" t="s">
        <v>1143</v>
      </c>
      <c r="F30" s="162" t="s">
        <v>906</v>
      </c>
      <c r="G30" s="163" t="s">
        <v>301</v>
      </c>
      <c r="H30" s="163" t="s">
        <v>32</v>
      </c>
      <c r="I30" s="164" t="s">
        <v>97</v>
      </c>
      <c r="J30" s="324">
        <v>44053</v>
      </c>
      <c r="K30" s="315" t="s">
        <v>33</v>
      </c>
      <c r="L30" s="322">
        <v>6901000</v>
      </c>
      <c r="M30" s="49" t="s">
        <v>828</v>
      </c>
    </row>
    <row r="31" spans="1:13" ht="14.4" x14ac:dyDescent="0.3">
      <c r="A31" s="51"/>
      <c r="B31" s="53">
        <v>44051</v>
      </c>
      <c r="C31" s="165" t="s">
        <v>959</v>
      </c>
      <c r="D31" s="162" t="s">
        <v>31</v>
      </c>
      <c r="E31" s="162" t="s">
        <v>1143</v>
      </c>
      <c r="F31" s="162" t="s">
        <v>906</v>
      </c>
      <c r="G31" s="163" t="s">
        <v>301</v>
      </c>
      <c r="H31" s="163" t="s">
        <v>32</v>
      </c>
      <c r="I31" s="164" t="s">
        <v>97</v>
      </c>
      <c r="J31" s="324">
        <v>44053</v>
      </c>
      <c r="K31" s="315" t="s">
        <v>33</v>
      </c>
      <c r="L31" s="322">
        <v>6901000</v>
      </c>
      <c r="M31" s="51" t="s">
        <v>828</v>
      </c>
    </row>
    <row r="32" spans="1:13" ht="14.4" x14ac:dyDescent="0.3">
      <c r="A32" s="51"/>
      <c r="B32" s="47">
        <v>44051</v>
      </c>
      <c r="C32" s="164" t="s">
        <v>960</v>
      </c>
      <c r="D32" s="162" t="s">
        <v>31</v>
      </c>
      <c r="E32" s="162" t="s">
        <v>1143</v>
      </c>
      <c r="F32" s="162" t="s">
        <v>906</v>
      </c>
      <c r="G32" s="163" t="s">
        <v>301</v>
      </c>
      <c r="H32" s="163" t="s">
        <v>32</v>
      </c>
      <c r="I32" s="164" t="s">
        <v>97</v>
      </c>
      <c r="J32" s="324">
        <v>44053</v>
      </c>
      <c r="K32" s="315" t="s">
        <v>33</v>
      </c>
      <c r="L32" s="322">
        <v>6901000</v>
      </c>
      <c r="M32" s="48" t="s">
        <v>828</v>
      </c>
    </row>
    <row r="33" spans="1:13" ht="14.4" x14ac:dyDescent="0.3">
      <c r="A33" s="51"/>
      <c r="B33" s="47">
        <v>44051</v>
      </c>
      <c r="C33" s="164" t="s">
        <v>961</v>
      </c>
      <c r="D33" s="162" t="s">
        <v>31</v>
      </c>
      <c r="E33" s="162" t="s">
        <v>1143</v>
      </c>
      <c r="F33" s="162" t="s">
        <v>906</v>
      </c>
      <c r="G33" s="163" t="s">
        <v>301</v>
      </c>
      <c r="H33" s="163" t="s">
        <v>32</v>
      </c>
      <c r="I33" s="164" t="s">
        <v>97</v>
      </c>
      <c r="J33" s="324">
        <v>44053</v>
      </c>
      <c r="K33" s="315" t="s">
        <v>33</v>
      </c>
      <c r="L33" s="322">
        <v>6901000</v>
      </c>
      <c r="M33" s="49" t="s">
        <v>828</v>
      </c>
    </row>
    <row r="34" spans="1:13" ht="14.4" x14ac:dyDescent="0.3">
      <c r="A34" s="51"/>
      <c r="B34" s="47">
        <v>44051</v>
      </c>
      <c r="C34" s="164" t="s">
        <v>962</v>
      </c>
      <c r="D34" s="162" t="s">
        <v>31</v>
      </c>
      <c r="E34" s="162" t="s">
        <v>1143</v>
      </c>
      <c r="F34" s="162" t="s">
        <v>906</v>
      </c>
      <c r="G34" s="163" t="s">
        <v>301</v>
      </c>
      <c r="H34" s="163" t="s">
        <v>32</v>
      </c>
      <c r="I34" s="164" t="s">
        <v>97</v>
      </c>
      <c r="J34" s="324">
        <v>44053</v>
      </c>
      <c r="K34" s="315" t="s">
        <v>33</v>
      </c>
      <c r="L34" s="322">
        <v>6901000</v>
      </c>
      <c r="M34" s="49" t="s">
        <v>828</v>
      </c>
    </row>
    <row r="35" spans="1:13" ht="14.4" x14ac:dyDescent="0.3">
      <c r="A35" s="51"/>
      <c r="B35" s="47">
        <v>44051</v>
      </c>
      <c r="C35" s="164" t="s">
        <v>963</v>
      </c>
      <c r="D35" s="162" t="s">
        <v>31</v>
      </c>
      <c r="E35" s="162" t="s">
        <v>1143</v>
      </c>
      <c r="F35" s="162" t="s">
        <v>906</v>
      </c>
      <c r="G35" s="163" t="s">
        <v>301</v>
      </c>
      <c r="H35" s="163" t="s">
        <v>32</v>
      </c>
      <c r="I35" s="164" t="s">
        <v>97</v>
      </c>
      <c r="J35" s="324">
        <v>44053</v>
      </c>
      <c r="K35" s="315" t="s">
        <v>33</v>
      </c>
      <c r="L35" s="322">
        <v>6901000</v>
      </c>
      <c r="M35" s="49" t="s">
        <v>828</v>
      </c>
    </row>
    <row r="36" spans="1:13" ht="14.4" x14ac:dyDescent="0.3">
      <c r="A36" s="51"/>
      <c r="B36" s="47">
        <v>44051</v>
      </c>
      <c r="C36" s="164" t="s">
        <v>964</v>
      </c>
      <c r="D36" s="162" t="s">
        <v>31</v>
      </c>
      <c r="E36" s="162" t="s">
        <v>1143</v>
      </c>
      <c r="F36" s="162" t="s">
        <v>906</v>
      </c>
      <c r="G36" s="163" t="s">
        <v>301</v>
      </c>
      <c r="H36" s="163" t="s">
        <v>32</v>
      </c>
      <c r="I36" s="164" t="s">
        <v>97</v>
      </c>
      <c r="J36" s="324">
        <v>44053</v>
      </c>
      <c r="K36" s="315" t="s">
        <v>33</v>
      </c>
      <c r="L36" s="322">
        <v>6901000</v>
      </c>
      <c r="M36" s="49" t="s">
        <v>828</v>
      </c>
    </row>
    <row r="37" spans="1:13" ht="14.4" x14ac:dyDescent="0.3">
      <c r="A37" s="51"/>
      <c r="B37" s="53">
        <v>44051</v>
      </c>
      <c r="C37" s="164" t="s">
        <v>965</v>
      </c>
      <c r="D37" s="162" t="s">
        <v>31</v>
      </c>
      <c r="E37" s="162" t="s">
        <v>1143</v>
      </c>
      <c r="F37" s="162" t="s">
        <v>906</v>
      </c>
      <c r="G37" s="163" t="s">
        <v>301</v>
      </c>
      <c r="H37" s="163" t="s">
        <v>32</v>
      </c>
      <c r="I37" s="164" t="s">
        <v>97</v>
      </c>
      <c r="J37" s="324">
        <v>44053</v>
      </c>
      <c r="K37" s="315" t="s">
        <v>33</v>
      </c>
      <c r="L37" s="322">
        <v>6901000</v>
      </c>
      <c r="M37" s="51" t="s">
        <v>828</v>
      </c>
    </row>
    <row r="38" spans="1:13" ht="14.4" x14ac:dyDescent="0.3">
      <c r="A38" s="51"/>
      <c r="B38" s="53">
        <v>44051</v>
      </c>
      <c r="C38" s="164" t="s">
        <v>960</v>
      </c>
      <c r="D38" s="162" t="s">
        <v>31</v>
      </c>
      <c r="E38" s="162" t="s">
        <v>1143</v>
      </c>
      <c r="F38" s="162" t="s">
        <v>906</v>
      </c>
      <c r="G38" s="163" t="s">
        <v>301</v>
      </c>
      <c r="H38" s="163" t="s">
        <v>32</v>
      </c>
      <c r="I38" s="164" t="s">
        <v>97</v>
      </c>
      <c r="J38" s="324">
        <v>44053</v>
      </c>
      <c r="K38" s="315" t="s">
        <v>33</v>
      </c>
      <c r="L38" s="322">
        <v>6901000</v>
      </c>
      <c r="M38" s="49" t="s">
        <v>828</v>
      </c>
    </row>
    <row r="39" spans="1:13" ht="14.4" x14ac:dyDescent="0.3">
      <c r="A39" s="51"/>
      <c r="B39" s="53">
        <v>44051</v>
      </c>
      <c r="C39" s="164" t="s">
        <v>966</v>
      </c>
      <c r="D39" s="162" t="s">
        <v>31</v>
      </c>
      <c r="E39" s="162" t="s">
        <v>1143</v>
      </c>
      <c r="F39" s="162" t="s">
        <v>906</v>
      </c>
      <c r="G39" s="163" t="s">
        <v>301</v>
      </c>
      <c r="H39" s="163" t="s">
        <v>32</v>
      </c>
      <c r="I39" s="164" t="s">
        <v>97</v>
      </c>
      <c r="J39" s="324">
        <v>44053</v>
      </c>
      <c r="K39" s="315" t="s">
        <v>33</v>
      </c>
      <c r="L39" s="322">
        <v>6901000</v>
      </c>
      <c r="M39" s="51" t="s">
        <v>828</v>
      </c>
    </row>
    <row r="40" spans="1:13" ht="14.4" x14ac:dyDescent="0.3">
      <c r="A40" s="51"/>
      <c r="B40" s="53">
        <v>44051</v>
      </c>
      <c r="C40" s="164" t="s">
        <v>967</v>
      </c>
      <c r="D40" s="162" t="s">
        <v>31</v>
      </c>
      <c r="E40" s="162" t="s">
        <v>1143</v>
      </c>
      <c r="F40" s="162" t="s">
        <v>906</v>
      </c>
      <c r="G40" s="163" t="s">
        <v>301</v>
      </c>
      <c r="H40" s="163" t="s">
        <v>32</v>
      </c>
      <c r="I40" s="164" t="s">
        <v>97</v>
      </c>
      <c r="J40" s="324">
        <v>44053</v>
      </c>
      <c r="K40" s="315" t="s">
        <v>33</v>
      </c>
      <c r="L40" s="322">
        <v>6901000</v>
      </c>
      <c r="M40" s="49" t="s">
        <v>828</v>
      </c>
    </row>
    <row r="41" spans="1:13" ht="14.4" x14ac:dyDescent="0.3">
      <c r="A41" s="51"/>
      <c r="B41" s="53">
        <v>44051</v>
      </c>
      <c r="C41" s="164" t="s">
        <v>968</v>
      </c>
      <c r="D41" s="162" t="s">
        <v>31</v>
      </c>
      <c r="E41" s="162" t="s">
        <v>1143</v>
      </c>
      <c r="F41" s="162" t="s">
        <v>906</v>
      </c>
      <c r="G41" s="163" t="s">
        <v>301</v>
      </c>
      <c r="H41" s="163" t="s">
        <v>32</v>
      </c>
      <c r="I41" s="164" t="s">
        <v>97</v>
      </c>
      <c r="J41" s="324">
        <v>44053</v>
      </c>
      <c r="K41" s="315" t="s">
        <v>33</v>
      </c>
      <c r="L41" s="322">
        <v>6901000</v>
      </c>
      <c r="M41" s="51" t="s">
        <v>828</v>
      </c>
    </row>
    <row r="42" spans="1:13" ht="14.4" x14ac:dyDescent="0.3">
      <c r="A42" s="51"/>
      <c r="B42" s="47">
        <v>44051</v>
      </c>
      <c r="C42" s="164" t="s">
        <v>969</v>
      </c>
      <c r="D42" s="162" t="s">
        <v>31</v>
      </c>
      <c r="E42" s="162" t="s">
        <v>1143</v>
      </c>
      <c r="F42" s="162" t="s">
        <v>906</v>
      </c>
      <c r="G42" s="163" t="s">
        <v>301</v>
      </c>
      <c r="H42" s="163" t="s">
        <v>32</v>
      </c>
      <c r="I42" s="164" t="s">
        <v>97</v>
      </c>
      <c r="J42" s="324">
        <v>44053</v>
      </c>
      <c r="K42" s="315" t="s">
        <v>33</v>
      </c>
      <c r="L42" s="322">
        <v>6901000</v>
      </c>
      <c r="M42" s="51" t="s">
        <v>828</v>
      </c>
    </row>
    <row r="43" spans="1:13" ht="14.4" x14ac:dyDescent="0.3">
      <c r="A43" s="51"/>
      <c r="B43" s="47">
        <v>44051</v>
      </c>
      <c r="C43" s="164" t="s">
        <v>970</v>
      </c>
      <c r="D43" s="162" t="s">
        <v>31</v>
      </c>
      <c r="E43" s="162" t="s">
        <v>1143</v>
      </c>
      <c r="F43" s="162" t="s">
        <v>906</v>
      </c>
      <c r="G43" s="163" t="s">
        <v>301</v>
      </c>
      <c r="H43" s="163" t="s">
        <v>32</v>
      </c>
      <c r="I43" s="164" t="s">
        <v>97</v>
      </c>
      <c r="J43" s="324">
        <v>44053</v>
      </c>
      <c r="K43" s="315" t="s">
        <v>33</v>
      </c>
      <c r="L43" s="322">
        <v>6901000</v>
      </c>
      <c r="M43" s="51" t="s">
        <v>828</v>
      </c>
    </row>
    <row r="44" spans="1:13" ht="14.4" x14ac:dyDescent="0.3">
      <c r="A44" s="51"/>
      <c r="B44" s="47">
        <v>44051</v>
      </c>
      <c r="C44" s="164" t="s">
        <v>971</v>
      </c>
      <c r="D44" s="162" t="s">
        <v>31</v>
      </c>
      <c r="E44" s="162" t="s">
        <v>1143</v>
      </c>
      <c r="F44" s="162" t="s">
        <v>906</v>
      </c>
      <c r="G44" s="163" t="s">
        <v>301</v>
      </c>
      <c r="H44" s="163" t="s">
        <v>32</v>
      </c>
      <c r="I44" s="164" t="s">
        <v>97</v>
      </c>
      <c r="J44" s="324">
        <v>44053</v>
      </c>
      <c r="K44" s="315" t="s">
        <v>33</v>
      </c>
      <c r="L44" s="322">
        <v>6901000</v>
      </c>
      <c r="M44" s="51" t="s">
        <v>828</v>
      </c>
    </row>
    <row r="45" spans="1:13" ht="14.4" x14ac:dyDescent="0.3">
      <c r="A45" s="51"/>
      <c r="B45" s="47">
        <v>44051</v>
      </c>
      <c r="C45" s="164" t="s">
        <v>972</v>
      </c>
      <c r="D45" s="162" t="s">
        <v>31</v>
      </c>
      <c r="E45" s="162" t="s">
        <v>1143</v>
      </c>
      <c r="F45" s="162" t="s">
        <v>906</v>
      </c>
      <c r="G45" s="163" t="s">
        <v>301</v>
      </c>
      <c r="H45" s="163" t="s">
        <v>32</v>
      </c>
      <c r="I45" s="164" t="s">
        <v>97</v>
      </c>
      <c r="J45" s="324">
        <v>44053</v>
      </c>
      <c r="K45" s="315" t="s">
        <v>33</v>
      </c>
      <c r="L45" s="322">
        <v>6901000</v>
      </c>
      <c r="M45" s="51" t="s">
        <v>828</v>
      </c>
    </row>
    <row r="46" spans="1:13" ht="14.4" x14ac:dyDescent="0.3">
      <c r="A46" s="51"/>
      <c r="B46" s="47">
        <v>44051</v>
      </c>
      <c r="C46" s="164" t="s">
        <v>973</v>
      </c>
      <c r="D46" s="162" t="s">
        <v>31</v>
      </c>
      <c r="E46" s="162" t="s">
        <v>1143</v>
      </c>
      <c r="F46" s="162" t="s">
        <v>906</v>
      </c>
      <c r="G46" s="163" t="s">
        <v>301</v>
      </c>
      <c r="H46" s="163" t="s">
        <v>32</v>
      </c>
      <c r="I46" s="164" t="s">
        <v>97</v>
      </c>
      <c r="J46" s="324">
        <v>44053</v>
      </c>
      <c r="K46" s="315" t="s">
        <v>33</v>
      </c>
      <c r="L46" s="322">
        <v>6901000</v>
      </c>
      <c r="M46" s="51" t="s">
        <v>828</v>
      </c>
    </row>
    <row r="47" spans="1:13" ht="14.4" x14ac:dyDescent="0.3">
      <c r="A47" s="51"/>
      <c r="B47" s="47">
        <v>44051</v>
      </c>
      <c r="C47" s="164" t="s">
        <v>974</v>
      </c>
      <c r="D47" s="162" t="s">
        <v>31</v>
      </c>
      <c r="E47" s="162" t="s">
        <v>1143</v>
      </c>
      <c r="F47" s="162" t="s">
        <v>906</v>
      </c>
      <c r="G47" s="163" t="s">
        <v>301</v>
      </c>
      <c r="H47" s="163" t="s">
        <v>32</v>
      </c>
      <c r="I47" s="164" t="s">
        <v>97</v>
      </c>
      <c r="J47" s="324">
        <v>44053</v>
      </c>
      <c r="K47" s="315" t="s">
        <v>33</v>
      </c>
      <c r="L47" s="322">
        <v>6901000</v>
      </c>
      <c r="M47" s="51" t="s">
        <v>828</v>
      </c>
    </row>
    <row r="48" spans="1:13" ht="14.4" x14ac:dyDescent="0.3">
      <c r="A48" s="51"/>
      <c r="B48" s="47">
        <v>44051</v>
      </c>
      <c r="C48" s="164" t="s">
        <v>975</v>
      </c>
      <c r="D48" s="162" t="s">
        <v>31</v>
      </c>
      <c r="E48" s="162" t="s">
        <v>1143</v>
      </c>
      <c r="F48" s="162" t="s">
        <v>906</v>
      </c>
      <c r="G48" s="163" t="s">
        <v>301</v>
      </c>
      <c r="H48" s="163" t="s">
        <v>32</v>
      </c>
      <c r="I48" s="164" t="s">
        <v>97</v>
      </c>
      <c r="J48" s="324">
        <v>44053</v>
      </c>
      <c r="K48" s="315" t="s">
        <v>33</v>
      </c>
      <c r="L48" s="322">
        <v>6901000</v>
      </c>
      <c r="M48" s="51" t="s">
        <v>828</v>
      </c>
    </row>
    <row r="49" spans="1:13" ht="14.4" x14ac:dyDescent="0.3">
      <c r="A49" s="51"/>
      <c r="B49" s="47">
        <v>44051</v>
      </c>
      <c r="C49" s="164" t="s">
        <v>976</v>
      </c>
      <c r="D49" s="162" t="s">
        <v>31</v>
      </c>
      <c r="E49" s="162" t="s">
        <v>1143</v>
      </c>
      <c r="F49" s="162" t="s">
        <v>906</v>
      </c>
      <c r="G49" s="163" t="s">
        <v>301</v>
      </c>
      <c r="H49" s="163" t="s">
        <v>32</v>
      </c>
      <c r="I49" s="164" t="s">
        <v>97</v>
      </c>
      <c r="J49" s="324">
        <v>44053</v>
      </c>
      <c r="K49" s="315" t="s">
        <v>33</v>
      </c>
      <c r="L49" s="322">
        <v>6901000</v>
      </c>
      <c r="M49" s="51" t="s">
        <v>828</v>
      </c>
    </row>
    <row r="50" spans="1:13" ht="14.4" x14ac:dyDescent="0.3">
      <c r="A50" s="51"/>
      <c r="B50" s="47">
        <v>44051</v>
      </c>
      <c r="C50" s="164" t="s">
        <v>977</v>
      </c>
      <c r="D50" s="162" t="s">
        <v>31</v>
      </c>
      <c r="E50" s="162" t="s">
        <v>1143</v>
      </c>
      <c r="F50" s="162" t="s">
        <v>906</v>
      </c>
      <c r="G50" s="163" t="s">
        <v>301</v>
      </c>
      <c r="H50" s="163" t="s">
        <v>32</v>
      </c>
      <c r="I50" s="164" t="s">
        <v>97</v>
      </c>
      <c r="J50" s="324">
        <v>44053</v>
      </c>
      <c r="K50" s="315" t="s">
        <v>33</v>
      </c>
      <c r="L50" s="322">
        <v>6901000</v>
      </c>
      <c r="M50" s="51" t="s">
        <v>828</v>
      </c>
    </row>
    <row r="51" spans="1:13" ht="14.4" x14ac:dyDescent="0.3">
      <c r="A51" s="51"/>
      <c r="B51" s="47">
        <v>44051</v>
      </c>
      <c r="C51" s="164" t="s">
        <v>978</v>
      </c>
      <c r="D51" s="162" t="s">
        <v>31</v>
      </c>
      <c r="E51" s="162" t="s">
        <v>1143</v>
      </c>
      <c r="F51" s="162" t="s">
        <v>906</v>
      </c>
      <c r="G51" s="163" t="s">
        <v>301</v>
      </c>
      <c r="H51" s="163" t="s">
        <v>32</v>
      </c>
      <c r="I51" s="164" t="s">
        <v>97</v>
      </c>
      <c r="J51" s="324">
        <v>44053</v>
      </c>
      <c r="K51" s="315" t="s">
        <v>33</v>
      </c>
      <c r="L51" s="322">
        <v>6901000</v>
      </c>
      <c r="M51" s="51" t="s">
        <v>828</v>
      </c>
    </row>
    <row r="52" spans="1:13" ht="14.4" x14ac:dyDescent="0.3">
      <c r="A52" s="51"/>
      <c r="B52" s="47">
        <v>44056</v>
      </c>
      <c r="C52" s="164" t="s">
        <v>987</v>
      </c>
      <c r="D52" s="162" t="s">
        <v>36</v>
      </c>
      <c r="E52" s="162" t="s">
        <v>1143</v>
      </c>
      <c r="F52" s="162" t="s">
        <v>906</v>
      </c>
      <c r="G52" s="163" t="s">
        <v>301</v>
      </c>
      <c r="H52" s="163" t="s">
        <v>38</v>
      </c>
      <c r="I52" s="164" t="s">
        <v>97</v>
      </c>
      <c r="J52" s="324">
        <v>44057</v>
      </c>
      <c r="K52" s="315" t="s">
        <v>33</v>
      </c>
      <c r="L52" s="322">
        <v>6180000</v>
      </c>
      <c r="M52" s="51" t="s">
        <v>828</v>
      </c>
    </row>
    <row r="53" spans="1:13" ht="14.4" x14ac:dyDescent="0.3">
      <c r="A53" s="51"/>
      <c r="B53" s="47">
        <v>44056</v>
      </c>
      <c r="C53" s="164" t="s">
        <v>988</v>
      </c>
      <c r="D53" s="162" t="s">
        <v>36</v>
      </c>
      <c r="E53" s="162" t="s">
        <v>1143</v>
      </c>
      <c r="F53" s="162" t="s">
        <v>906</v>
      </c>
      <c r="G53" s="163" t="s">
        <v>301</v>
      </c>
      <c r="H53" s="163" t="s">
        <v>38</v>
      </c>
      <c r="I53" s="164" t="s">
        <v>97</v>
      </c>
      <c r="J53" s="324">
        <v>44057</v>
      </c>
      <c r="K53" s="315" t="s">
        <v>33</v>
      </c>
      <c r="L53" s="322">
        <v>6180000</v>
      </c>
      <c r="M53" s="51" t="s">
        <v>828</v>
      </c>
    </row>
    <row r="54" spans="1:13" ht="14.4" x14ac:dyDescent="0.3">
      <c r="A54" s="51"/>
      <c r="B54" s="47">
        <v>44056</v>
      </c>
      <c r="C54" s="164" t="s">
        <v>989</v>
      </c>
      <c r="D54" s="162" t="s">
        <v>36</v>
      </c>
      <c r="E54" s="162" t="s">
        <v>1143</v>
      </c>
      <c r="F54" s="162" t="s">
        <v>906</v>
      </c>
      <c r="G54" s="163" t="s">
        <v>301</v>
      </c>
      <c r="H54" s="163" t="s">
        <v>38</v>
      </c>
      <c r="I54" s="164" t="s">
        <v>97</v>
      </c>
      <c r="J54" s="324">
        <v>44057</v>
      </c>
      <c r="K54" s="315" t="s">
        <v>33</v>
      </c>
      <c r="L54" s="322">
        <v>6180000</v>
      </c>
      <c r="M54" s="51" t="s">
        <v>828</v>
      </c>
    </row>
    <row r="55" spans="1:13" ht="14.4" x14ac:dyDescent="0.3">
      <c r="A55" s="51"/>
      <c r="B55" s="47">
        <v>44056</v>
      </c>
      <c r="C55" s="164" t="s">
        <v>990</v>
      </c>
      <c r="D55" s="162" t="s">
        <v>36</v>
      </c>
      <c r="E55" s="162" t="s">
        <v>1143</v>
      </c>
      <c r="F55" s="162" t="s">
        <v>906</v>
      </c>
      <c r="G55" s="163" t="s">
        <v>301</v>
      </c>
      <c r="H55" s="163" t="s">
        <v>38</v>
      </c>
      <c r="I55" s="164" t="s">
        <v>97</v>
      </c>
      <c r="J55" s="324">
        <v>44057</v>
      </c>
      <c r="K55" s="315" t="s">
        <v>33</v>
      </c>
      <c r="L55" s="322">
        <v>6180000</v>
      </c>
      <c r="M55" s="51" t="s">
        <v>828</v>
      </c>
    </row>
    <row r="56" spans="1:13" ht="14.4" x14ac:dyDescent="0.3">
      <c r="A56" s="51"/>
      <c r="B56" s="47">
        <v>44068</v>
      </c>
      <c r="C56" s="164" t="s">
        <v>999</v>
      </c>
      <c r="D56" s="162" t="s">
        <v>36</v>
      </c>
      <c r="E56" s="162" t="s">
        <v>1143</v>
      </c>
      <c r="F56" s="162" t="s">
        <v>906</v>
      </c>
      <c r="G56" s="163" t="s">
        <v>304</v>
      </c>
      <c r="H56" s="163" t="s">
        <v>32</v>
      </c>
      <c r="I56" s="164" t="s">
        <v>97</v>
      </c>
      <c r="J56" s="324">
        <v>44066</v>
      </c>
      <c r="K56" s="315" t="s">
        <v>33</v>
      </c>
      <c r="L56" s="322">
        <v>6180000</v>
      </c>
      <c r="M56" s="51" t="s">
        <v>828</v>
      </c>
    </row>
    <row r="57" spans="1:13" ht="14.4" x14ac:dyDescent="0.3">
      <c r="A57" s="51"/>
      <c r="B57" s="53">
        <v>44068</v>
      </c>
      <c r="C57" s="165" t="s">
        <v>989</v>
      </c>
      <c r="D57" s="162" t="s">
        <v>36</v>
      </c>
      <c r="E57" s="162" t="s">
        <v>1143</v>
      </c>
      <c r="F57" s="162" t="s">
        <v>906</v>
      </c>
      <c r="G57" s="163" t="s">
        <v>304</v>
      </c>
      <c r="H57" s="163" t="s">
        <v>32</v>
      </c>
      <c r="I57" s="164" t="s">
        <v>97</v>
      </c>
      <c r="J57" s="324">
        <v>44066</v>
      </c>
      <c r="K57" s="315" t="s">
        <v>33</v>
      </c>
      <c r="L57" s="322">
        <v>6180000</v>
      </c>
      <c r="M57" s="51" t="s">
        <v>828</v>
      </c>
    </row>
    <row r="58" spans="1:13" ht="14.4" x14ac:dyDescent="0.3">
      <c r="A58" s="51"/>
      <c r="B58" s="47">
        <v>44068</v>
      </c>
      <c r="C58" s="164" t="s">
        <v>1000</v>
      </c>
      <c r="D58" s="162" t="s">
        <v>36</v>
      </c>
      <c r="E58" s="162" t="s">
        <v>1143</v>
      </c>
      <c r="F58" s="162" t="s">
        <v>906</v>
      </c>
      <c r="G58" s="163" t="s">
        <v>304</v>
      </c>
      <c r="H58" s="163" t="s">
        <v>32</v>
      </c>
      <c r="I58" s="164" t="s">
        <v>97</v>
      </c>
      <c r="J58" s="324">
        <v>44066</v>
      </c>
      <c r="K58" s="315" t="s">
        <v>33</v>
      </c>
      <c r="L58" s="322">
        <v>6180000</v>
      </c>
      <c r="M58" s="49" t="s">
        <v>828</v>
      </c>
    </row>
    <row r="59" spans="1:13" ht="14.4" x14ac:dyDescent="0.3">
      <c r="A59" s="51"/>
      <c r="B59" s="53">
        <v>44068</v>
      </c>
      <c r="C59" s="164" t="s">
        <v>987</v>
      </c>
      <c r="D59" s="162" t="s">
        <v>36</v>
      </c>
      <c r="E59" s="162" t="s">
        <v>1143</v>
      </c>
      <c r="F59" s="162" t="s">
        <v>906</v>
      </c>
      <c r="G59" s="163" t="s">
        <v>304</v>
      </c>
      <c r="H59" s="163" t="s">
        <v>32</v>
      </c>
      <c r="I59" s="164" t="s">
        <v>97</v>
      </c>
      <c r="J59" s="324">
        <v>44066</v>
      </c>
      <c r="K59" s="315" t="s">
        <v>33</v>
      </c>
      <c r="L59" s="322">
        <v>6180000</v>
      </c>
      <c r="M59" s="49" t="s">
        <v>828</v>
      </c>
    </row>
    <row r="60" spans="1:13" ht="14.4" x14ac:dyDescent="0.3">
      <c r="A60" s="51"/>
      <c r="B60" s="47">
        <v>44068</v>
      </c>
      <c r="C60" s="164" t="s">
        <v>1003</v>
      </c>
      <c r="D60" s="162" t="s">
        <v>31</v>
      </c>
      <c r="E60" s="162" t="s">
        <v>1143</v>
      </c>
      <c r="F60" s="162" t="s">
        <v>906</v>
      </c>
      <c r="G60" s="163" t="s">
        <v>301</v>
      </c>
      <c r="H60" s="163" t="s">
        <v>32</v>
      </c>
      <c r="I60" s="164" t="s">
        <v>97</v>
      </c>
      <c r="J60" s="324">
        <v>44069</v>
      </c>
      <c r="K60" s="315" t="s">
        <v>33</v>
      </c>
      <c r="L60" s="322">
        <v>6180000</v>
      </c>
      <c r="M60" s="51" t="s">
        <v>828</v>
      </c>
    </row>
    <row r="61" spans="1:13" ht="14.4" x14ac:dyDescent="0.3">
      <c r="A61" s="51"/>
      <c r="B61" s="47">
        <v>44068</v>
      </c>
      <c r="C61" s="164" t="s">
        <v>1004</v>
      </c>
      <c r="D61" s="162" t="s">
        <v>31</v>
      </c>
      <c r="E61" s="162" t="s">
        <v>1143</v>
      </c>
      <c r="F61" s="162" t="s">
        <v>906</v>
      </c>
      <c r="G61" s="163" t="s">
        <v>301</v>
      </c>
      <c r="H61" s="163" t="s">
        <v>32</v>
      </c>
      <c r="I61" s="164" t="s">
        <v>97</v>
      </c>
      <c r="J61" s="324">
        <v>44069</v>
      </c>
      <c r="K61" s="315" t="s">
        <v>33</v>
      </c>
      <c r="L61" s="322">
        <v>6180000</v>
      </c>
      <c r="M61" s="51" t="s">
        <v>828</v>
      </c>
    </row>
    <row r="62" spans="1:13" ht="14.4" x14ac:dyDescent="0.3">
      <c r="A62" s="51"/>
      <c r="B62" s="47">
        <v>44068</v>
      </c>
      <c r="C62" s="164" t="s">
        <v>1005</v>
      </c>
      <c r="D62" s="162" t="s">
        <v>31</v>
      </c>
      <c r="E62" s="162" t="s">
        <v>1143</v>
      </c>
      <c r="F62" s="162" t="s">
        <v>906</v>
      </c>
      <c r="G62" s="163" t="s">
        <v>301</v>
      </c>
      <c r="H62" s="163" t="s">
        <v>32</v>
      </c>
      <c r="I62" s="164" t="s">
        <v>97</v>
      </c>
      <c r="J62" s="324">
        <v>44069</v>
      </c>
      <c r="K62" s="315" t="s">
        <v>33</v>
      </c>
      <c r="L62" s="322">
        <v>6180000</v>
      </c>
      <c r="M62" s="51" t="s">
        <v>828</v>
      </c>
    </row>
    <row r="63" spans="1:13" ht="14.4" x14ac:dyDescent="0.3">
      <c r="A63" s="51"/>
      <c r="B63" s="47">
        <v>44068</v>
      </c>
      <c r="C63" s="164" t="s">
        <v>1006</v>
      </c>
      <c r="D63" s="162" t="s">
        <v>31</v>
      </c>
      <c r="E63" s="162" t="s">
        <v>1143</v>
      </c>
      <c r="F63" s="162" t="s">
        <v>906</v>
      </c>
      <c r="G63" s="163" t="s">
        <v>301</v>
      </c>
      <c r="H63" s="163" t="s">
        <v>32</v>
      </c>
      <c r="I63" s="164" t="s">
        <v>97</v>
      </c>
      <c r="J63" s="324">
        <v>44069</v>
      </c>
      <c r="K63" s="315" t="s">
        <v>33</v>
      </c>
      <c r="L63" s="322">
        <v>6180000</v>
      </c>
      <c r="M63" s="51" t="s">
        <v>828</v>
      </c>
    </row>
    <row r="64" spans="1:13" ht="14.4" x14ac:dyDescent="0.3">
      <c r="A64" s="51"/>
      <c r="B64" s="47">
        <v>44068</v>
      </c>
      <c r="C64" s="164" t="s">
        <v>1007</v>
      </c>
      <c r="D64" s="162" t="s">
        <v>31</v>
      </c>
      <c r="E64" s="162" t="s">
        <v>1143</v>
      </c>
      <c r="F64" s="162" t="s">
        <v>906</v>
      </c>
      <c r="G64" s="163" t="s">
        <v>301</v>
      </c>
      <c r="H64" s="163" t="s">
        <v>32</v>
      </c>
      <c r="I64" s="164" t="s">
        <v>97</v>
      </c>
      <c r="J64" s="324">
        <v>44069</v>
      </c>
      <c r="K64" s="315" t="s">
        <v>33</v>
      </c>
      <c r="L64" s="322">
        <v>6180000</v>
      </c>
      <c r="M64" s="51" t="s">
        <v>828</v>
      </c>
    </row>
    <row r="65" spans="1:13" ht="14.4" x14ac:dyDescent="0.3">
      <c r="A65" s="51"/>
      <c r="B65" s="316">
        <v>44068</v>
      </c>
      <c r="C65" s="162" t="s">
        <v>1010</v>
      </c>
      <c r="D65" s="162" t="s">
        <v>31</v>
      </c>
      <c r="E65" s="162" t="s">
        <v>1143</v>
      </c>
      <c r="F65" s="162" t="s">
        <v>906</v>
      </c>
      <c r="G65" s="163" t="s">
        <v>301</v>
      </c>
      <c r="H65" s="163" t="s">
        <v>32</v>
      </c>
      <c r="I65" s="164" t="s">
        <v>97</v>
      </c>
      <c r="J65" s="163">
        <v>44069</v>
      </c>
      <c r="K65" s="315" t="s">
        <v>33</v>
      </c>
      <c r="L65" s="322">
        <v>6180000</v>
      </c>
      <c r="M65" s="320" t="s">
        <v>828</v>
      </c>
    </row>
    <row r="66" spans="1:13" ht="14.4" x14ac:dyDescent="0.3">
      <c r="A66" s="51"/>
      <c r="B66" s="316">
        <v>44068</v>
      </c>
      <c r="C66" s="162" t="s">
        <v>1011</v>
      </c>
      <c r="D66" s="162" t="s">
        <v>31</v>
      </c>
      <c r="E66" s="162" t="s">
        <v>1143</v>
      </c>
      <c r="F66" s="162" t="s">
        <v>906</v>
      </c>
      <c r="G66" s="163" t="s">
        <v>301</v>
      </c>
      <c r="H66" s="163" t="s">
        <v>32</v>
      </c>
      <c r="I66" s="164" t="s">
        <v>97</v>
      </c>
      <c r="J66" s="163">
        <v>44069</v>
      </c>
      <c r="K66" s="315" t="s">
        <v>33</v>
      </c>
      <c r="L66" s="322">
        <v>6180000</v>
      </c>
      <c r="M66" s="320" t="s">
        <v>828</v>
      </c>
    </row>
    <row r="67" spans="1:13" ht="14.4" x14ac:dyDescent="0.3">
      <c r="A67" s="51"/>
      <c r="B67" s="47">
        <v>44051</v>
      </c>
      <c r="C67" s="164" t="s">
        <v>981</v>
      </c>
      <c r="D67" s="162" t="s">
        <v>31</v>
      </c>
      <c r="E67" s="162" t="s">
        <v>1143</v>
      </c>
      <c r="F67" s="162" t="s">
        <v>149</v>
      </c>
      <c r="G67" s="163" t="s">
        <v>301</v>
      </c>
      <c r="H67" s="163" t="s">
        <v>32</v>
      </c>
      <c r="I67" s="164" t="s">
        <v>97</v>
      </c>
      <c r="J67" s="324">
        <v>44053</v>
      </c>
      <c r="K67" s="315" t="s">
        <v>33</v>
      </c>
      <c r="L67" s="322">
        <v>7004000</v>
      </c>
      <c r="M67" s="51" t="s">
        <v>828</v>
      </c>
    </row>
    <row r="68" spans="1:13" ht="14.4" x14ac:dyDescent="0.3">
      <c r="A68" s="51"/>
      <c r="B68" s="47">
        <v>44061</v>
      </c>
      <c r="C68" s="164" t="s">
        <v>1056</v>
      </c>
      <c r="D68" s="162" t="s">
        <v>31</v>
      </c>
      <c r="E68" s="162" t="s">
        <v>131</v>
      </c>
      <c r="F68" s="162" t="s">
        <v>132</v>
      </c>
      <c r="G68" s="163" t="s">
        <v>116</v>
      </c>
      <c r="H68" s="163" t="s">
        <v>32</v>
      </c>
      <c r="I68" s="164" t="s">
        <v>97</v>
      </c>
      <c r="J68" s="324">
        <v>44062</v>
      </c>
      <c r="K68" s="315" t="s">
        <v>33</v>
      </c>
      <c r="L68" s="322">
        <v>6180000</v>
      </c>
      <c r="M68" s="51" t="s">
        <v>828</v>
      </c>
    </row>
    <row r="69" spans="1:13" ht="14.4" x14ac:dyDescent="0.3">
      <c r="A69" s="51"/>
      <c r="B69" s="47">
        <v>44061</v>
      </c>
      <c r="C69" s="164" t="s">
        <v>1057</v>
      </c>
      <c r="D69" s="162" t="s">
        <v>31</v>
      </c>
      <c r="E69" s="162" t="s">
        <v>131</v>
      </c>
      <c r="F69" s="162" t="s">
        <v>132</v>
      </c>
      <c r="G69" s="163" t="s">
        <v>116</v>
      </c>
      <c r="H69" s="163" t="s">
        <v>32</v>
      </c>
      <c r="I69" s="164" t="s">
        <v>97</v>
      </c>
      <c r="J69" s="324">
        <v>44062</v>
      </c>
      <c r="K69" s="315" t="s">
        <v>33</v>
      </c>
      <c r="L69" s="322">
        <v>6180000</v>
      </c>
      <c r="M69" s="49" t="s">
        <v>828</v>
      </c>
    </row>
    <row r="70" spans="1:13" ht="14.4" x14ac:dyDescent="0.3">
      <c r="A70" s="51"/>
      <c r="B70" s="316">
        <v>44072</v>
      </c>
      <c r="C70" s="162" t="s">
        <v>1128</v>
      </c>
      <c r="D70" s="162" t="s">
        <v>31</v>
      </c>
      <c r="E70" s="162" t="s">
        <v>131</v>
      </c>
      <c r="F70" s="162" t="s">
        <v>132</v>
      </c>
      <c r="G70" s="163" t="s">
        <v>116</v>
      </c>
      <c r="H70" s="163" t="s">
        <v>32</v>
      </c>
      <c r="I70" s="164" t="s">
        <v>97</v>
      </c>
      <c r="J70" s="163">
        <v>44072</v>
      </c>
      <c r="K70" s="315" t="s">
        <v>33</v>
      </c>
      <c r="L70" s="322">
        <v>6210000</v>
      </c>
      <c r="M70" s="320" t="s">
        <v>828</v>
      </c>
    </row>
    <row r="71" spans="1:13" ht="14.4" x14ac:dyDescent="0.3">
      <c r="A71" s="51"/>
      <c r="B71" s="316">
        <v>44072</v>
      </c>
      <c r="C71" s="162" t="s">
        <v>1129</v>
      </c>
      <c r="D71" s="162" t="s">
        <v>31</v>
      </c>
      <c r="E71" s="162" t="s">
        <v>131</v>
      </c>
      <c r="F71" s="162" t="s">
        <v>132</v>
      </c>
      <c r="G71" s="163" t="s">
        <v>116</v>
      </c>
      <c r="H71" s="163" t="s">
        <v>32</v>
      </c>
      <c r="I71" s="164" t="s">
        <v>97</v>
      </c>
      <c r="J71" s="163">
        <v>44072</v>
      </c>
      <c r="K71" s="315" t="s">
        <v>33</v>
      </c>
      <c r="L71" s="322">
        <v>6210000</v>
      </c>
      <c r="M71" s="320" t="s">
        <v>828</v>
      </c>
    </row>
    <row r="72" spans="1:13" ht="14.4" x14ac:dyDescent="0.3">
      <c r="A72" s="51"/>
      <c r="B72" s="316">
        <v>44072</v>
      </c>
      <c r="C72" s="162" t="s">
        <v>1130</v>
      </c>
      <c r="D72" s="162" t="s">
        <v>31</v>
      </c>
      <c r="E72" s="162" t="s">
        <v>131</v>
      </c>
      <c r="F72" s="162" t="s">
        <v>132</v>
      </c>
      <c r="G72" s="163" t="s">
        <v>116</v>
      </c>
      <c r="H72" s="163" t="s">
        <v>32</v>
      </c>
      <c r="I72" s="164" t="s">
        <v>97</v>
      </c>
      <c r="J72" s="163">
        <v>44072</v>
      </c>
      <c r="K72" s="315" t="s">
        <v>33</v>
      </c>
      <c r="L72" s="322">
        <v>6210000</v>
      </c>
      <c r="M72" s="320" t="s">
        <v>828</v>
      </c>
    </row>
    <row r="73" spans="1:13" ht="14.4" x14ac:dyDescent="0.3">
      <c r="A73" s="51"/>
      <c r="B73" s="316">
        <v>44072</v>
      </c>
      <c r="C73" s="162" t="s">
        <v>1131</v>
      </c>
      <c r="D73" s="162" t="s">
        <v>31</v>
      </c>
      <c r="E73" s="162" t="s">
        <v>131</v>
      </c>
      <c r="F73" s="162" t="s">
        <v>132</v>
      </c>
      <c r="G73" s="163" t="s">
        <v>116</v>
      </c>
      <c r="H73" s="163" t="s">
        <v>32</v>
      </c>
      <c r="I73" s="164" t="s">
        <v>97</v>
      </c>
      <c r="J73" s="163">
        <v>44072</v>
      </c>
      <c r="K73" s="315" t="s">
        <v>33</v>
      </c>
      <c r="L73" s="322">
        <v>6210000</v>
      </c>
      <c r="M73" s="320" t="s">
        <v>828</v>
      </c>
    </row>
    <row r="74" spans="1:13" ht="14.4" x14ac:dyDescent="0.3">
      <c r="A74" s="51"/>
      <c r="B74" s="316">
        <v>44072</v>
      </c>
      <c r="C74" s="162" t="s">
        <v>1132</v>
      </c>
      <c r="D74" s="162" t="s">
        <v>31</v>
      </c>
      <c r="E74" s="162" t="s">
        <v>131</v>
      </c>
      <c r="F74" s="162" t="s">
        <v>132</v>
      </c>
      <c r="G74" s="163" t="s">
        <v>116</v>
      </c>
      <c r="H74" s="163" t="s">
        <v>32</v>
      </c>
      <c r="I74" s="164" t="s">
        <v>97</v>
      </c>
      <c r="J74" s="163">
        <v>44072</v>
      </c>
      <c r="K74" s="315" t="s">
        <v>33</v>
      </c>
      <c r="L74" s="322">
        <v>11385000</v>
      </c>
      <c r="M74" s="320" t="s">
        <v>828</v>
      </c>
    </row>
    <row r="75" spans="1:13" ht="14.4" x14ac:dyDescent="0.3">
      <c r="A75" s="51"/>
      <c r="B75" s="316">
        <v>44072</v>
      </c>
      <c r="C75" s="162" t="s">
        <v>1133</v>
      </c>
      <c r="D75" s="162" t="s">
        <v>31</v>
      </c>
      <c r="E75" s="162" t="s">
        <v>131</v>
      </c>
      <c r="F75" s="162" t="s">
        <v>132</v>
      </c>
      <c r="G75" s="163" t="s">
        <v>116</v>
      </c>
      <c r="H75" s="163" t="s">
        <v>32</v>
      </c>
      <c r="I75" s="164" t="s">
        <v>97</v>
      </c>
      <c r="J75" s="163">
        <v>44072</v>
      </c>
      <c r="K75" s="315" t="s">
        <v>33</v>
      </c>
      <c r="L75" s="322">
        <v>6210000</v>
      </c>
      <c r="M75" s="320" t="s">
        <v>828</v>
      </c>
    </row>
    <row r="76" spans="1:13" ht="14.4" x14ac:dyDescent="0.3">
      <c r="A76" s="51"/>
      <c r="B76" s="316">
        <v>44066</v>
      </c>
      <c r="C76" s="162" t="s">
        <v>1128</v>
      </c>
      <c r="D76" s="162" t="s">
        <v>31</v>
      </c>
      <c r="E76" s="162" t="s">
        <v>131</v>
      </c>
      <c r="F76" s="162" t="s">
        <v>132</v>
      </c>
      <c r="G76" s="163" t="s">
        <v>116</v>
      </c>
      <c r="H76" s="163" t="s">
        <v>38</v>
      </c>
      <c r="I76" s="164" t="s">
        <v>97</v>
      </c>
      <c r="J76" s="163">
        <v>44066</v>
      </c>
      <c r="K76" s="315" t="s">
        <v>33</v>
      </c>
      <c r="L76" s="322">
        <v>6210000</v>
      </c>
      <c r="M76" s="320" t="s">
        <v>828</v>
      </c>
    </row>
    <row r="77" spans="1:13" ht="14.4" x14ac:dyDescent="0.3">
      <c r="A77" s="51"/>
      <c r="B77" s="53">
        <v>44066</v>
      </c>
      <c r="C77" s="164" t="s">
        <v>1129</v>
      </c>
      <c r="D77" s="162" t="s">
        <v>31</v>
      </c>
      <c r="E77" s="162" t="s">
        <v>131</v>
      </c>
      <c r="F77" s="162" t="s">
        <v>132</v>
      </c>
      <c r="G77" s="163" t="s">
        <v>116</v>
      </c>
      <c r="H77" s="163" t="s">
        <v>38</v>
      </c>
      <c r="I77" s="164" t="s">
        <v>97</v>
      </c>
      <c r="J77" s="324">
        <v>44066</v>
      </c>
      <c r="K77" s="315" t="s">
        <v>33</v>
      </c>
      <c r="L77" s="322">
        <v>6210000</v>
      </c>
      <c r="M77" s="51" t="s">
        <v>828</v>
      </c>
    </row>
    <row r="78" spans="1:13" ht="14.4" x14ac:dyDescent="0.3">
      <c r="A78" s="51"/>
      <c r="B78" s="47">
        <v>44066</v>
      </c>
      <c r="C78" s="165" t="s">
        <v>1130</v>
      </c>
      <c r="D78" s="162" t="s">
        <v>31</v>
      </c>
      <c r="E78" s="162" t="s">
        <v>131</v>
      </c>
      <c r="F78" s="162" t="s">
        <v>132</v>
      </c>
      <c r="G78" s="163" t="s">
        <v>116</v>
      </c>
      <c r="H78" s="163" t="s">
        <v>38</v>
      </c>
      <c r="I78" s="164" t="s">
        <v>97</v>
      </c>
      <c r="J78" s="324">
        <v>44066</v>
      </c>
      <c r="K78" s="315" t="s">
        <v>33</v>
      </c>
      <c r="L78" s="322">
        <v>6210000</v>
      </c>
      <c r="M78" s="51" t="s">
        <v>828</v>
      </c>
    </row>
    <row r="79" spans="1:13" ht="14.4" x14ac:dyDescent="0.3">
      <c r="A79" s="51"/>
      <c r="B79" s="47">
        <v>44066</v>
      </c>
      <c r="C79" s="165" t="s">
        <v>1131</v>
      </c>
      <c r="D79" s="162" t="s">
        <v>31</v>
      </c>
      <c r="E79" s="162" t="s">
        <v>131</v>
      </c>
      <c r="F79" s="162" t="s">
        <v>132</v>
      </c>
      <c r="G79" s="163" t="s">
        <v>116</v>
      </c>
      <c r="H79" s="163" t="s">
        <v>38</v>
      </c>
      <c r="I79" s="164" t="s">
        <v>97</v>
      </c>
      <c r="J79" s="324">
        <v>44066</v>
      </c>
      <c r="K79" s="315" t="s">
        <v>33</v>
      </c>
      <c r="L79" s="322">
        <v>6210000</v>
      </c>
      <c r="M79" s="49" t="s">
        <v>828</v>
      </c>
    </row>
    <row r="80" spans="1:13" ht="14.4" x14ac:dyDescent="0.3">
      <c r="A80" s="51"/>
      <c r="B80" s="53">
        <v>44066</v>
      </c>
      <c r="C80" s="164" t="s">
        <v>1132</v>
      </c>
      <c r="D80" s="162" t="s">
        <v>31</v>
      </c>
      <c r="E80" s="162" t="s">
        <v>131</v>
      </c>
      <c r="F80" s="162" t="s">
        <v>132</v>
      </c>
      <c r="G80" s="163" t="s">
        <v>116</v>
      </c>
      <c r="H80" s="163" t="s">
        <v>38</v>
      </c>
      <c r="I80" s="164" t="s">
        <v>97</v>
      </c>
      <c r="J80" s="324">
        <v>44066</v>
      </c>
      <c r="K80" s="315" t="s">
        <v>33</v>
      </c>
      <c r="L80" s="322">
        <v>11385000</v>
      </c>
      <c r="M80" s="49" t="s">
        <v>828</v>
      </c>
    </row>
    <row r="81" spans="1:13" ht="14.4" x14ac:dyDescent="0.3">
      <c r="A81" s="51"/>
      <c r="B81" s="53">
        <v>44066</v>
      </c>
      <c r="C81" s="164" t="s">
        <v>1133</v>
      </c>
      <c r="D81" s="162" t="s">
        <v>31</v>
      </c>
      <c r="E81" s="162" t="s">
        <v>131</v>
      </c>
      <c r="F81" s="162" t="s">
        <v>132</v>
      </c>
      <c r="G81" s="163" t="s">
        <v>116</v>
      </c>
      <c r="H81" s="163" t="s">
        <v>38</v>
      </c>
      <c r="I81" s="164" t="s">
        <v>97</v>
      </c>
      <c r="J81" s="324">
        <v>44066</v>
      </c>
      <c r="K81" s="315" t="s">
        <v>33</v>
      </c>
      <c r="L81" s="322">
        <v>6210000</v>
      </c>
      <c r="M81" s="49" t="s">
        <v>828</v>
      </c>
    </row>
    <row r="82" spans="1:13" ht="14.4" x14ac:dyDescent="0.3">
      <c r="A82" s="51"/>
      <c r="B82" s="47">
        <v>44053</v>
      </c>
      <c r="C82" s="164" t="s">
        <v>1027</v>
      </c>
      <c r="D82" s="162" t="s">
        <v>31</v>
      </c>
      <c r="E82" s="162" t="s">
        <v>105</v>
      </c>
      <c r="F82" s="162" t="s">
        <v>846</v>
      </c>
      <c r="G82" s="163" t="s">
        <v>1025</v>
      </c>
      <c r="H82" s="163" t="s">
        <v>32</v>
      </c>
      <c r="I82" s="164" t="s">
        <v>97</v>
      </c>
      <c r="J82" s="324">
        <v>44054</v>
      </c>
      <c r="K82" s="315" t="s">
        <v>33</v>
      </c>
      <c r="L82" s="322">
        <v>6970000</v>
      </c>
      <c r="M82" s="51" t="s">
        <v>828</v>
      </c>
    </row>
    <row r="83" spans="1:13" ht="14.4" x14ac:dyDescent="0.3">
      <c r="A83" s="51"/>
      <c r="B83" s="47">
        <v>44053</v>
      </c>
      <c r="C83" s="164" t="s">
        <v>1028</v>
      </c>
      <c r="D83" s="162" t="s">
        <v>31</v>
      </c>
      <c r="E83" s="162" t="s">
        <v>105</v>
      </c>
      <c r="F83" s="162" t="s">
        <v>846</v>
      </c>
      <c r="G83" s="163" t="s">
        <v>1025</v>
      </c>
      <c r="H83" s="163" t="s">
        <v>32</v>
      </c>
      <c r="I83" s="164" t="s">
        <v>97</v>
      </c>
      <c r="J83" s="324">
        <v>44054</v>
      </c>
      <c r="K83" s="315" t="s">
        <v>33</v>
      </c>
      <c r="L83" s="322">
        <v>6970000</v>
      </c>
      <c r="M83" s="51" t="s">
        <v>828</v>
      </c>
    </row>
    <row r="84" spans="1:13" ht="14.4" x14ac:dyDescent="0.3">
      <c r="A84" s="51"/>
      <c r="B84" s="47">
        <v>44053</v>
      </c>
      <c r="C84" s="164" t="s">
        <v>1029</v>
      </c>
      <c r="D84" s="162" t="s">
        <v>31</v>
      </c>
      <c r="E84" s="162" t="s">
        <v>105</v>
      </c>
      <c r="F84" s="162" t="s">
        <v>846</v>
      </c>
      <c r="G84" s="163" t="s">
        <v>1025</v>
      </c>
      <c r="H84" s="163" t="s">
        <v>32</v>
      </c>
      <c r="I84" s="164" t="s">
        <v>97</v>
      </c>
      <c r="J84" s="324">
        <v>44054</v>
      </c>
      <c r="K84" s="315" t="s">
        <v>33</v>
      </c>
      <c r="L84" s="322">
        <v>6970000</v>
      </c>
      <c r="M84" s="51" t="s">
        <v>828</v>
      </c>
    </row>
    <row r="85" spans="1:13" ht="14.4" x14ac:dyDescent="0.3">
      <c r="A85" s="51"/>
      <c r="B85" s="47">
        <v>44053</v>
      </c>
      <c r="C85" s="164" t="s">
        <v>1030</v>
      </c>
      <c r="D85" s="162" t="s">
        <v>31</v>
      </c>
      <c r="E85" s="162" t="s">
        <v>105</v>
      </c>
      <c r="F85" s="162" t="s">
        <v>846</v>
      </c>
      <c r="G85" s="163" t="s">
        <v>1025</v>
      </c>
      <c r="H85" s="163" t="s">
        <v>32</v>
      </c>
      <c r="I85" s="164" t="s">
        <v>97</v>
      </c>
      <c r="J85" s="324">
        <v>44054</v>
      </c>
      <c r="K85" s="315" t="s">
        <v>33</v>
      </c>
      <c r="L85" s="322">
        <v>6970000</v>
      </c>
      <c r="M85" s="51" t="s">
        <v>828</v>
      </c>
    </row>
    <row r="86" spans="1:13" ht="14.4" x14ac:dyDescent="0.3">
      <c r="A86" s="51"/>
      <c r="B86" s="47">
        <v>44053</v>
      </c>
      <c r="C86" s="164" t="s">
        <v>1031</v>
      </c>
      <c r="D86" s="162" t="s">
        <v>31</v>
      </c>
      <c r="E86" s="162" t="s">
        <v>105</v>
      </c>
      <c r="F86" s="162" t="s">
        <v>846</v>
      </c>
      <c r="G86" s="163" t="s">
        <v>1025</v>
      </c>
      <c r="H86" s="163" t="s">
        <v>32</v>
      </c>
      <c r="I86" s="164" t="s">
        <v>97</v>
      </c>
      <c r="J86" s="324">
        <v>44054</v>
      </c>
      <c r="K86" s="315" t="s">
        <v>33</v>
      </c>
      <c r="L86" s="322">
        <v>6970000</v>
      </c>
      <c r="M86" s="51" t="s">
        <v>828</v>
      </c>
    </row>
    <row r="87" spans="1:13" ht="14.4" x14ac:dyDescent="0.3">
      <c r="A87" s="51"/>
      <c r="B87" s="316">
        <v>44072</v>
      </c>
      <c r="C87" s="162" t="s">
        <v>1031</v>
      </c>
      <c r="D87" s="162" t="s">
        <v>31</v>
      </c>
      <c r="E87" s="162" t="s">
        <v>105</v>
      </c>
      <c r="F87" s="162" t="s">
        <v>846</v>
      </c>
      <c r="G87" s="163" t="s">
        <v>1025</v>
      </c>
      <c r="H87" s="163" t="s">
        <v>38</v>
      </c>
      <c r="I87" s="164" t="s">
        <v>97</v>
      </c>
      <c r="J87" s="163">
        <v>44072</v>
      </c>
      <c r="K87" s="315" t="s">
        <v>33</v>
      </c>
      <c r="L87" s="322">
        <v>6210000</v>
      </c>
      <c r="M87" s="320" t="s">
        <v>828</v>
      </c>
    </row>
    <row r="88" spans="1:13" ht="14.4" x14ac:dyDescent="0.3">
      <c r="A88" s="51"/>
      <c r="B88" s="316">
        <v>44056</v>
      </c>
      <c r="C88" s="162" t="s">
        <v>1050</v>
      </c>
      <c r="D88" s="162" t="s">
        <v>31</v>
      </c>
      <c r="E88" s="162" t="s">
        <v>1144</v>
      </c>
      <c r="F88" s="162" t="s">
        <v>227</v>
      </c>
      <c r="G88" s="163" t="s">
        <v>1051</v>
      </c>
      <c r="H88" s="163" t="s">
        <v>1052</v>
      </c>
      <c r="I88" s="164" t="s">
        <v>97</v>
      </c>
      <c r="J88" s="163">
        <v>44063</v>
      </c>
      <c r="K88" s="315" t="s">
        <v>143</v>
      </c>
      <c r="L88" s="322">
        <v>8252390</v>
      </c>
      <c r="M88" s="320" t="s">
        <v>1018</v>
      </c>
    </row>
    <row r="89" spans="1:13" ht="14.4" x14ac:dyDescent="0.3">
      <c r="A89" s="51"/>
      <c r="B89" s="316">
        <v>44061</v>
      </c>
      <c r="C89" s="162" t="s">
        <v>1055</v>
      </c>
      <c r="D89" s="162" t="s">
        <v>31</v>
      </c>
      <c r="E89" s="162" t="s">
        <v>1144</v>
      </c>
      <c r="F89" s="162" t="s">
        <v>227</v>
      </c>
      <c r="G89" s="163" t="s">
        <v>116</v>
      </c>
      <c r="H89" s="163" t="s">
        <v>32</v>
      </c>
      <c r="I89" s="164" t="s">
        <v>97</v>
      </c>
      <c r="J89" s="163">
        <v>44062</v>
      </c>
      <c r="K89" s="315" t="s">
        <v>33</v>
      </c>
      <c r="L89" s="322">
        <v>6180000</v>
      </c>
      <c r="M89" s="320" t="s">
        <v>828</v>
      </c>
    </row>
    <row r="90" spans="1:13" ht="14.4" x14ac:dyDescent="0.3">
      <c r="A90" s="51"/>
      <c r="B90" s="316">
        <v>44070</v>
      </c>
      <c r="C90" s="162" t="s">
        <v>1125</v>
      </c>
      <c r="D90" s="162" t="s">
        <v>31</v>
      </c>
      <c r="E90" s="162" t="s">
        <v>1144</v>
      </c>
      <c r="F90" s="162" t="s">
        <v>227</v>
      </c>
      <c r="G90" s="163" t="s">
        <v>1051</v>
      </c>
      <c r="H90" s="163" t="s">
        <v>32</v>
      </c>
      <c r="I90" s="164" t="s">
        <v>97</v>
      </c>
      <c r="J90" s="163">
        <v>44070</v>
      </c>
      <c r="K90" s="315" t="s">
        <v>33</v>
      </c>
      <c r="L90" s="322">
        <v>6210000</v>
      </c>
      <c r="M90" s="320" t="s">
        <v>828</v>
      </c>
    </row>
    <row r="91" spans="1:13" ht="14.4" x14ac:dyDescent="0.3">
      <c r="A91" s="51"/>
      <c r="B91" s="316">
        <v>44070</v>
      </c>
      <c r="C91" s="162" t="s">
        <v>1126</v>
      </c>
      <c r="D91" s="162" t="s">
        <v>31</v>
      </c>
      <c r="E91" s="162" t="s">
        <v>1144</v>
      </c>
      <c r="F91" s="162" t="s">
        <v>227</v>
      </c>
      <c r="G91" s="163" t="s">
        <v>1051</v>
      </c>
      <c r="H91" s="163" t="s">
        <v>32</v>
      </c>
      <c r="I91" s="164" t="s">
        <v>97</v>
      </c>
      <c r="J91" s="163">
        <v>44070</v>
      </c>
      <c r="K91" s="315" t="s">
        <v>33</v>
      </c>
      <c r="L91" s="322">
        <v>6210000</v>
      </c>
      <c r="M91" s="320" t="s">
        <v>828</v>
      </c>
    </row>
    <row r="92" spans="1:13" ht="14.4" x14ac:dyDescent="0.3">
      <c r="A92" s="51"/>
      <c r="B92" s="316">
        <v>44070</v>
      </c>
      <c r="C92" s="162" t="s">
        <v>1127</v>
      </c>
      <c r="D92" s="162" t="s">
        <v>31</v>
      </c>
      <c r="E92" s="162" t="s">
        <v>1144</v>
      </c>
      <c r="F92" s="162" t="s">
        <v>227</v>
      </c>
      <c r="G92" s="163" t="s">
        <v>1051</v>
      </c>
      <c r="H92" s="163" t="s">
        <v>32</v>
      </c>
      <c r="I92" s="164" t="s">
        <v>97</v>
      </c>
      <c r="J92" s="163">
        <v>44070</v>
      </c>
      <c r="K92" s="315" t="s">
        <v>33</v>
      </c>
      <c r="L92" s="322">
        <v>6210000</v>
      </c>
      <c r="M92" s="320" t="s">
        <v>828</v>
      </c>
    </row>
    <row r="93" spans="1:13" ht="14.4" x14ac:dyDescent="0.3">
      <c r="A93" s="51"/>
      <c r="B93" s="316">
        <v>44061</v>
      </c>
      <c r="C93" s="162" t="s">
        <v>1106</v>
      </c>
      <c r="D93" s="162" t="s">
        <v>31</v>
      </c>
      <c r="E93" s="162" t="s">
        <v>1144</v>
      </c>
      <c r="F93" s="162"/>
      <c r="G93" s="163" t="s">
        <v>116</v>
      </c>
      <c r="H93" s="163" t="s">
        <v>32</v>
      </c>
      <c r="I93" s="164" t="s">
        <v>97</v>
      </c>
      <c r="J93" s="163">
        <v>44062</v>
      </c>
      <c r="K93" s="315" t="s">
        <v>33</v>
      </c>
      <c r="L93" s="322">
        <v>6180000</v>
      </c>
      <c r="M93" s="320" t="s">
        <v>828</v>
      </c>
    </row>
    <row r="94" spans="1:13" ht="14.4" x14ac:dyDescent="0.3">
      <c r="A94" s="51"/>
      <c r="B94" s="47">
        <v>44051</v>
      </c>
      <c r="C94" s="164" t="s">
        <v>985</v>
      </c>
      <c r="D94" s="162" t="s">
        <v>31</v>
      </c>
      <c r="E94" s="162" t="s">
        <v>1142</v>
      </c>
      <c r="F94" s="162" t="s">
        <v>932</v>
      </c>
      <c r="G94" s="163" t="s">
        <v>301</v>
      </c>
      <c r="H94" s="163" t="s">
        <v>32</v>
      </c>
      <c r="I94" s="164" t="s">
        <v>97</v>
      </c>
      <c r="J94" s="324">
        <v>44053</v>
      </c>
      <c r="K94" s="315" t="s">
        <v>33</v>
      </c>
      <c r="L94" s="322">
        <v>7313000</v>
      </c>
      <c r="M94" s="51" t="s">
        <v>828</v>
      </c>
    </row>
    <row r="95" spans="1:13" ht="14.4" x14ac:dyDescent="0.3">
      <c r="A95" s="51"/>
      <c r="B95" s="53">
        <v>44068</v>
      </c>
      <c r="C95" s="164" t="s">
        <v>1001</v>
      </c>
      <c r="D95" s="162" t="s">
        <v>36</v>
      </c>
      <c r="E95" s="162" t="s">
        <v>1142</v>
      </c>
      <c r="F95" s="162" t="s">
        <v>1002</v>
      </c>
      <c r="G95" s="163" t="s">
        <v>304</v>
      </c>
      <c r="H95" s="163" t="s">
        <v>38</v>
      </c>
      <c r="I95" s="164" t="s">
        <v>97</v>
      </c>
      <c r="J95" s="324">
        <v>44066</v>
      </c>
      <c r="K95" s="315" t="s">
        <v>33</v>
      </c>
      <c r="L95" s="322">
        <v>6180000</v>
      </c>
      <c r="M95" s="54" t="s">
        <v>828</v>
      </c>
    </row>
    <row r="96" spans="1:13" ht="14.4" x14ac:dyDescent="0.3">
      <c r="A96" s="51"/>
      <c r="B96" s="316">
        <v>44068</v>
      </c>
      <c r="C96" s="162" t="s">
        <v>1008</v>
      </c>
      <c r="D96" s="162" t="s">
        <v>31</v>
      </c>
      <c r="E96" s="162" t="s">
        <v>1142</v>
      </c>
      <c r="F96" s="162" t="s">
        <v>1002</v>
      </c>
      <c r="G96" s="163" t="s">
        <v>301</v>
      </c>
      <c r="H96" s="163" t="s">
        <v>32</v>
      </c>
      <c r="I96" s="164" t="s">
        <v>97</v>
      </c>
      <c r="J96" s="163">
        <v>44069</v>
      </c>
      <c r="K96" s="315" t="s">
        <v>33</v>
      </c>
      <c r="L96" s="322">
        <v>6180000</v>
      </c>
      <c r="M96" s="317" t="s">
        <v>828</v>
      </c>
    </row>
    <row r="97" spans="1:13" ht="14.4" x14ac:dyDescent="0.3">
      <c r="A97" s="51"/>
      <c r="B97" s="316">
        <v>44068</v>
      </c>
      <c r="C97" s="162" t="s">
        <v>1009</v>
      </c>
      <c r="D97" s="162" t="s">
        <v>31</v>
      </c>
      <c r="E97" s="162" t="s">
        <v>1142</v>
      </c>
      <c r="F97" s="162" t="s">
        <v>1002</v>
      </c>
      <c r="G97" s="163" t="s">
        <v>301</v>
      </c>
      <c r="H97" s="163" t="s">
        <v>32</v>
      </c>
      <c r="I97" s="164" t="s">
        <v>97</v>
      </c>
      <c r="J97" s="163">
        <v>44069</v>
      </c>
      <c r="K97" s="315" t="s">
        <v>33</v>
      </c>
      <c r="L97" s="322">
        <v>6180000</v>
      </c>
      <c r="M97" s="317" t="s">
        <v>828</v>
      </c>
    </row>
    <row r="98" spans="1:13" ht="14.4" x14ac:dyDescent="0.3">
      <c r="A98" s="51"/>
      <c r="B98" s="316">
        <v>44072</v>
      </c>
      <c r="C98" s="162" t="s">
        <v>1016</v>
      </c>
      <c r="D98" s="162" t="s">
        <v>31</v>
      </c>
      <c r="E98" s="162" t="s">
        <v>1142</v>
      </c>
      <c r="F98" s="162" t="s">
        <v>1002</v>
      </c>
      <c r="G98" s="163" t="s">
        <v>304</v>
      </c>
      <c r="H98" s="163" t="s">
        <v>38</v>
      </c>
      <c r="I98" s="164" t="s">
        <v>97</v>
      </c>
      <c r="J98" s="163">
        <v>44072</v>
      </c>
      <c r="K98" s="315" t="s">
        <v>33</v>
      </c>
      <c r="L98" s="322">
        <v>6695000</v>
      </c>
      <c r="M98" s="317" t="s">
        <v>828</v>
      </c>
    </row>
    <row r="99" spans="1:13" ht="14.4" x14ac:dyDescent="0.3">
      <c r="A99" s="51"/>
      <c r="B99" s="316">
        <v>44072</v>
      </c>
      <c r="C99" s="162" t="s">
        <v>1017</v>
      </c>
      <c r="D99" s="162" t="s">
        <v>31</v>
      </c>
      <c r="E99" s="162" t="s">
        <v>1142</v>
      </c>
      <c r="F99" s="162" t="s">
        <v>1002</v>
      </c>
      <c r="G99" s="163" t="s">
        <v>304</v>
      </c>
      <c r="H99" s="163" t="s">
        <v>38</v>
      </c>
      <c r="I99" s="164" t="s">
        <v>97</v>
      </c>
      <c r="J99" s="163">
        <v>44072</v>
      </c>
      <c r="K99" s="315" t="s">
        <v>33</v>
      </c>
      <c r="L99" s="322">
        <v>6695000</v>
      </c>
      <c r="M99" s="317" t="s">
        <v>828</v>
      </c>
    </row>
    <row r="100" spans="1:13" ht="14.4" x14ac:dyDescent="0.3">
      <c r="A100" s="51"/>
      <c r="B100" s="53">
        <v>44053</v>
      </c>
      <c r="C100" s="164" t="s">
        <v>1036</v>
      </c>
      <c r="D100" s="162" t="s">
        <v>31</v>
      </c>
      <c r="E100" s="162" t="s">
        <v>1020</v>
      </c>
      <c r="F100" s="162" t="s">
        <v>1022</v>
      </c>
      <c r="G100" s="163" t="s">
        <v>1037</v>
      </c>
      <c r="H100" s="163" t="s">
        <v>32</v>
      </c>
      <c r="I100" s="164" t="s">
        <v>97</v>
      </c>
      <c r="J100" s="324">
        <v>44054</v>
      </c>
      <c r="K100" s="315" t="s">
        <v>33</v>
      </c>
      <c r="L100" s="322">
        <v>6970000</v>
      </c>
      <c r="M100" s="52" t="s">
        <v>828</v>
      </c>
    </row>
    <row r="101" spans="1:13" ht="14.4" x14ac:dyDescent="0.3">
      <c r="A101" s="51"/>
      <c r="B101" s="53">
        <v>44053</v>
      </c>
      <c r="C101" s="164" t="s">
        <v>1038</v>
      </c>
      <c r="D101" s="162" t="s">
        <v>31</v>
      </c>
      <c r="E101" s="162" t="s">
        <v>1020</v>
      </c>
      <c r="F101" s="162" t="s">
        <v>1022</v>
      </c>
      <c r="G101" s="163" t="s">
        <v>1037</v>
      </c>
      <c r="H101" s="163" t="s">
        <v>32</v>
      </c>
      <c r="I101" s="164" t="s">
        <v>97</v>
      </c>
      <c r="J101" s="324">
        <v>44054</v>
      </c>
      <c r="K101" s="315" t="s">
        <v>33</v>
      </c>
      <c r="L101" s="322">
        <v>6970000</v>
      </c>
      <c r="M101" s="52" t="s">
        <v>828</v>
      </c>
    </row>
    <row r="102" spans="1:13" ht="14.4" x14ac:dyDescent="0.3">
      <c r="A102" s="51"/>
      <c r="B102" s="47">
        <v>44061</v>
      </c>
      <c r="C102" s="164" t="s">
        <v>1058</v>
      </c>
      <c r="D102" s="162" t="s">
        <v>31</v>
      </c>
      <c r="E102" s="162" t="s">
        <v>1020</v>
      </c>
      <c r="F102" s="162" t="s">
        <v>1022</v>
      </c>
      <c r="G102" s="163" t="s">
        <v>116</v>
      </c>
      <c r="H102" s="163" t="s">
        <v>32</v>
      </c>
      <c r="I102" s="164" t="s">
        <v>97</v>
      </c>
      <c r="J102" s="324">
        <v>44062</v>
      </c>
      <c r="K102" s="315" t="s">
        <v>33</v>
      </c>
      <c r="L102" s="322">
        <v>6180000</v>
      </c>
      <c r="M102" s="52" t="s">
        <v>828</v>
      </c>
    </row>
    <row r="103" spans="1:13" ht="14.4" x14ac:dyDescent="0.3">
      <c r="A103" s="51"/>
      <c r="B103" s="53">
        <v>44061</v>
      </c>
      <c r="C103" s="164" t="s">
        <v>1059</v>
      </c>
      <c r="D103" s="162" t="s">
        <v>31</v>
      </c>
      <c r="E103" s="162" t="s">
        <v>1020</v>
      </c>
      <c r="F103" s="162" t="s">
        <v>1022</v>
      </c>
      <c r="G103" s="163" t="s">
        <v>116</v>
      </c>
      <c r="H103" s="163" t="s">
        <v>32</v>
      </c>
      <c r="I103" s="164" t="s">
        <v>97</v>
      </c>
      <c r="J103" s="324">
        <v>44062</v>
      </c>
      <c r="K103" s="315" t="s">
        <v>33</v>
      </c>
      <c r="L103" s="322">
        <v>6180000</v>
      </c>
      <c r="M103" s="54" t="s">
        <v>828</v>
      </c>
    </row>
    <row r="104" spans="1:13" ht="14.4" x14ac:dyDescent="0.3">
      <c r="A104" s="51"/>
      <c r="B104" s="47">
        <v>44061</v>
      </c>
      <c r="C104" s="164" t="s">
        <v>1060</v>
      </c>
      <c r="D104" s="162" t="s">
        <v>31</v>
      </c>
      <c r="E104" s="162" t="s">
        <v>1020</v>
      </c>
      <c r="F104" s="162" t="s">
        <v>1022</v>
      </c>
      <c r="G104" s="163" t="s">
        <v>116</v>
      </c>
      <c r="H104" s="163" t="s">
        <v>32</v>
      </c>
      <c r="I104" s="164" t="s">
        <v>97</v>
      </c>
      <c r="J104" s="324">
        <v>44062</v>
      </c>
      <c r="K104" s="315" t="s">
        <v>33</v>
      </c>
      <c r="L104" s="322">
        <v>6180000</v>
      </c>
      <c r="M104" s="54" t="s">
        <v>828</v>
      </c>
    </row>
    <row r="105" spans="1:13" ht="14.4" x14ac:dyDescent="0.3">
      <c r="A105" s="51"/>
      <c r="B105" s="47">
        <v>44061</v>
      </c>
      <c r="C105" s="164" t="s">
        <v>1061</v>
      </c>
      <c r="D105" s="162" t="s">
        <v>31</v>
      </c>
      <c r="E105" s="162" t="s">
        <v>1020</v>
      </c>
      <c r="F105" s="162" t="s">
        <v>1022</v>
      </c>
      <c r="G105" s="163" t="s">
        <v>116</v>
      </c>
      <c r="H105" s="163" t="s">
        <v>32</v>
      </c>
      <c r="I105" s="164" t="s">
        <v>97</v>
      </c>
      <c r="J105" s="324">
        <v>44062</v>
      </c>
      <c r="K105" s="315" t="s">
        <v>33</v>
      </c>
      <c r="L105" s="322">
        <v>6180000</v>
      </c>
      <c r="M105" s="54" t="s">
        <v>828</v>
      </c>
    </row>
    <row r="106" spans="1:13" ht="14.4" x14ac:dyDescent="0.3">
      <c r="A106" s="51"/>
      <c r="B106" s="316">
        <v>44061</v>
      </c>
      <c r="C106" s="162" t="s">
        <v>1062</v>
      </c>
      <c r="D106" s="162" t="s">
        <v>31</v>
      </c>
      <c r="E106" s="162" t="s">
        <v>1020</v>
      </c>
      <c r="F106" s="162" t="s">
        <v>1022</v>
      </c>
      <c r="G106" s="163" t="s">
        <v>116</v>
      </c>
      <c r="H106" s="163" t="s">
        <v>32</v>
      </c>
      <c r="I106" s="164" t="s">
        <v>97</v>
      </c>
      <c r="J106" s="163">
        <v>44062</v>
      </c>
      <c r="K106" s="315" t="s">
        <v>33</v>
      </c>
      <c r="L106" s="322">
        <v>6180000</v>
      </c>
      <c r="M106" s="317" t="s">
        <v>828</v>
      </c>
    </row>
    <row r="107" spans="1:13" ht="14.4" x14ac:dyDescent="0.3">
      <c r="A107" s="51"/>
      <c r="B107" s="316">
        <v>44061</v>
      </c>
      <c r="C107" s="162" t="s">
        <v>1063</v>
      </c>
      <c r="D107" s="162" t="s">
        <v>31</v>
      </c>
      <c r="E107" s="162" t="s">
        <v>1020</v>
      </c>
      <c r="F107" s="162" t="s">
        <v>1022</v>
      </c>
      <c r="G107" s="163" t="s">
        <v>116</v>
      </c>
      <c r="H107" s="163" t="s">
        <v>32</v>
      </c>
      <c r="I107" s="164" t="s">
        <v>97</v>
      </c>
      <c r="J107" s="163">
        <v>44062</v>
      </c>
      <c r="K107" s="315" t="s">
        <v>33</v>
      </c>
      <c r="L107" s="322">
        <v>6180000</v>
      </c>
      <c r="M107" s="317" t="s">
        <v>828</v>
      </c>
    </row>
    <row r="108" spans="1:13" ht="14.4" x14ac:dyDescent="0.3">
      <c r="A108" s="51"/>
      <c r="B108" s="316">
        <v>44061</v>
      </c>
      <c r="C108" s="162" t="s">
        <v>1064</v>
      </c>
      <c r="D108" s="162" t="s">
        <v>31</v>
      </c>
      <c r="E108" s="162" t="s">
        <v>1020</v>
      </c>
      <c r="F108" s="162" t="s">
        <v>1022</v>
      </c>
      <c r="G108" s="163" t="s">
        <v>116</v>
      </c>
      <c r="H108" s="163" t="s">
        <v>32</v>
      </c>
      <c r="I108" s="164" t="s">
        <v>97</v>
      </c>
      <c r="J108" s="163">
        <v>44062</v>
      </c>
      <c r="K108" s="315" t="s">
        <v>33</v>
      </c>
      <c r="L108" s="322">
        <v>6180000</v>
      </c>
      <c r="M108" s="320" t="s">
        <v>828</v>
      </c>
    </row>
    <row r="109" spans="1:13" ht="14.4" x14ac:dyDescent="0.3">
      <c r="A109" s="51"/>
      <c r="B109" s="316">
        <v>44061</v>
      </c>
      <c r="C109" s="162" t="s">
        <v>1065</v>
      </c>
      <c r="D109" s="162" t="s">
        <v>31</v>
      </c>
      <c r="E109" s="162" t="s">
        <v>1020</v>
      </c>
      <c r="F109" s="162" t="s">
        <v>1022</v>
      </c>
      <c r="G109" s="163" t="s">
        <v>116</v>
      </c>
      <c r="H109" s="163" t="s">
        <v>32</v>
      </c>
      <c r="I109" s="164" t="s">
        <v>97</v>
      </c>
      <c r="J109" s="163">
        <v>44062</v>
      </c>
      <c r="K109" s="315" t="s">
        <v>33</v>
      </c>
      <c r="L109" s="322">
        <v>6180000</v>
      </c>
      <c r="M109" s="320" t="s">
        <v>828</v>
      </c>
    </row>
    <row r="110" spans="1:13" ht="14.4" x14ac:dyDescent="0.3">
      <c r="A110" s="51"/>
      <c r="B110" s="316">
        <v>44061</v>
      </c>
      <c r="C110" s="162" t="s">
        <v>1066</v>
      </c>
      <c r="D110" s="162" t="s">
        <v>31</v>
      </c>
      <c r="E110" s="162" t="s">
        <v>1020</v>
      </c>
      <c r="F110" s="162" t="s">
        <v>1022</v>
      </c>
      <c r="G110" s="163" t="s">
        <v>116</v>
      </c>
      <c r="H110" s="163" t="s">
        <v>32</v>
      </c>
      <c r="I110" s="164" t="s">
        <v>97</v>
      </c>
      <c r="J110" s="163">
        <v>44062</v>
      </c>
      <c r="K110" s="315" t="s">
        <v>33</v>
      </c>
      <c r="L110" s="322">
        <v>6180000</v>
      </c>
      <c r="M110" s="320" t="s">
        <v>828</v>
      </c>
    </row>
    <row r="111" spans="1:13" ht="14.4" x14ac:dyDescent="0.3">
      <c r="A111" s="51"/>
      <c r="B111" s="316">
        <v>44061</v>
      </c>
      <c r="C111" s="162" t="s">
        <v>1067</v>
      </c>
      <c r="D111" s="162" t="s">
        <v>31</v>
      </c>
      <c r="E111" s="162" t="s">
        <v>1020</v>
      </c>
      <c r="F111" s="162" t="s">
        <v>1022</v>
      </c>
      <c r="G111" s="163" t="s">
        <v>116</v>
      </c>
      <c r="H111" s="163" t="s">
        <v>32</v>
      </c>
      <c r="I111" s="164" t="s">
        <v>97</v>
      </c>
      <c r="J111" s="163">
        <v>44062</v>
      </c>
      <c r="K111" s="315" t="s">
        <v>33</v>
      </c>
      <c r="L111" s="322">
        <v>6180000</v>
      </c>
      <c r="M111" s="320" t="s">
        <v>828</v>
      </c>
    </row>
    <row r="112" spans="1:13" ht="14.4" x14ac:dyDescent="0.3">
      <c r="A112" s="51"/>
      <c r="B112" s="47">
        <v>44061</v>
      </c>
      <c r="C112" s="165" t="s">
        <v>1068</v>
      </c>
      <c r="D112" s="162" t="s">
        <v>31</v>
      </c>
      <c r="E112" s="162" t="s">
        <v>1020</v>
      </c>
      <c r="F112" s="162" t="s">
        <v>1022</v>
      </c>
      <c r="G112" s="163" t="s">
        <v>116</v>
      </c>
      <c r="H112" s="163" t="s">
        <v>32</v>
      </c>
      <c r="I112" s="164" t="s">
        <v>97</v>
      </c>
      <c r="J112" s="324">
        <v>44062</v>
      </c>
      <c r="K112" s="315" t="s">
        <v>33</v>
      </c>
      <c r="L112" s="322">
        <v>6180000</v>
      </c>
      <c r="M112" s="49" t="s">
        <v>828</v>
      </c>
    </row>
    <row r="113" spans="1:13" ht="14.4" x14ac:dyDescent="0.3">
      <c r="A113" s="51"/>
      <c r="B113" s="316">
        <v>44061</v>
      </c>
      <c r="C113" s="162" t="s">
        <v>1069</v>
      </c>
      <c r="D113" s="162" t="s">
        <v>31</v>
      </c>
      <c r="E113" s="162" t="s">
        <v>1020</v>
      </c>
      <c r="F113" s="162" t="s">
        <v>1022</v>
      </c>
      <c r="G113" s="163" t="s">
        <v>116</v>
      </c>
      <c r="H113" s="163" t="s">
        <v>32</v>
      </c>
      <c r="I113" s="164" t="s">
        <v>97</v>
      </c>
      <c r="J113" s="163">
        <v>44062</v>
      </c>
      <c r="K113" s="315" t="s">
        <v>33</v>
      </c>
      <c r="L113" s="322">
        <v>6180000</v>
      </c>
      <c r="M113" s="320" t="s">
        <v>828</v>
      </c>
    </row>
    <row r="114" spans="1:13" ht="14.4" x14ac:dyDescent="0.3">
      <c r="A114" s="51"/>
      <c r="B114" s="316">
        <v>44061</v>
      </c>
      <c r="C114" s="162" t="s">
        <v>1070</v>
      </c>
      <c r="D114" s="162" t="s">
        <v>31</v>
      </c>
      <c r="E114" s="162" t="s">
        <v>1020</v>
      </c>
      <c r="F114" s="162" t="s">
        <v>1022</v>
      </c>
      <c r="G114" s="163" t="s">
        <v>116</v>
      </c>
      <c r="H114" s="163" t="s">
        <v>32</v>
      </c>
      <c r="I114" s="164" t="s">
        <v>97</v>
      </c>
      <c r="J114" s="163">
        <v>44062</v>
      </c>
      <c r="K114" s="315" t="s">
        <v>33</v>
      </c>
      <c r="L114" s="322">
        <v>6180000</v>
      </c>
      <c r="M114" s="317" t="s">
        <v>828</v>
      </c>
    </row>
    <row r="115" spans="1:13" ht="14.4" x14ac:dyDescent="0.3">
      <c r="A115" s="51"/>
      <c r="B115" s="316">
        <v>44061</v>
      </c>
      <c r="C115" s="162" t="s">
        <v>1071</v>
      </c>
      <c r="D115" s="162" t="s">
        <v>31</v>
      </c>
      <c r="E115" s="162" t="s">
        <v>1020</v>
      </c>
      <c r="F115" s="162" t="s">
        <v>1022</v>
      </c>
      <c r="G115" s="163" t="s">
        <v>116</v>
      </c>
      <c r="H115" s="163" t="s">
        <v>32</v>
      </c>
      <c r="I115" s="164" t="s">
        <v>97</v>
      </c>
      <c r="J115" s="163">
        <v>44062</v>
      </c>
      <c r="K115" s="315" t="s">
        <v>33</v>
      </c>
      <c r="L115" s="322">
        <v>6180000</v>
      </c>
      <c r="M115" s="317" t="s">
        <v>828</v>
      </c>
    </row>
    <row r="116" spans="1:13" ht="14.4" x14ac:dyDescent="0.3">
      <c r="A116" s="51"/>
      <c r="B116" s="316">
        <v>44061</v>
      </c>
      <c r="C116" s="162" t="s">
        <v>1072</v>
      </c>
      <c r="D116" s="162" t="s">
        <v>31</v>
      </c>
      <c r="E116" s="162" t="s">
        <v>1020</v>
      </c>
      <c r="F116" s="162" t="s">
        <v>1022</v>
      </c>
      <c r="G116" s="163" t="s">
        <v>116</v>
      </c>
      <c r="H116" s="163" t="s">
        <v>32</v>
      </c>
      <c r="I116" s="164" t="s">
        <v>97</v>
      </c>
      <c r="J116" s="163">
        <v>44062</v>
      </c>
      <c r="K116" s="315" t="s">
        <v>33</v>
      </c>
      <c r="L116" s="322">
        <v>6180000</v>
      </c>
      <c r="M116" s="320" t="s">
        <v>828</v>
      </c>
    </row>
    <row r="117" spans="1:13" ht="14.4" x14ac:dyDescent="0.3">
      <c r="A117" s="51"/>
      <c r="B117" s="316">
        <v>44061</v>
      </c>
      <c r="C117" s="162" t="s">
        <v>1073</v>
      </c>
      <c r="D117" s="162" t="s">
        <v>31</v>
      </c>
      <c r="E117" s="162" t="s">
        <v>1020</v>
      </c>
      <c r="F117" s="162" t="s">
        <v>1022</v>
      </c>
      <c r="G117" s="163" t="s">
        <v>116</v>
      </c>
      <c r="H117" s="163" t="s">
        <v>32</v>
      </c>
      <c r="I117" s="164" t="s">
        <v>97</v>
      </c>
      <c r="J117" s="163">
        <v>44062</v>
      </c>
      <c r="K117" s="315" t="s">
        <v>33</v>
      </c>
      <c r="L117" s="322">
        <v>6180000</v>
      </c>
      <c r="M117" s="320" t="s">
        <v>828</v>
      </c>
    </row>
    <row r="118" spans="1:13" ht="14.4" x14ac:dyDescent="0.3">
      <c r="A118" s="51"/>
      <c r="B118" s="316">
        <v>44061</v>
      </c>
      <c r="C118" s="162" t="s">
        <v>1074</v>
      </c>
      <c r="D118" s="162" t="s">
        <v>31</v>
      </c>
      <c r="E118" s="162" t="s">
        <v>1020</v>
      </c>
      <c r="F118" s="162" t="s">
        <v>1022</v>
      </c>
      <c r="G118" s="163" t="s">
        <v>116</v>
      </c>
      <c r="H118" s="163" t="s">
        <v>32</v>
      </c>
      <c r="I118" s="164" t="s">
        <v>97</v>
      </c>
      <c r="J118" s="163">
        <v>44062</v>
      </c>
      <c r="K118" s="315" t="s">
        <v>33</v>
      </c>
      <c r="L118" s="322">
        <v>6180000</v>
      </c>
      <c r="M118" s="320" t="s">
        <v>828</v>
      </c>
    </row>
    <row r="119" spans="1:13" ht="14.4" x14ac:dyDescent="0.3">
      <c r="A119" s="51"/>
      <c r="B119" s="53">
        <v>44061</v>
      </c>
      <c r="C119" s="164" t="s">
        <v>1075</v>
      </c>
      <c r="D119" s="162" t="s">
        <v>31</v>
      </c>
      <c r="E119" s="162" t="s">
        <v>1020</v>
      </c>
      <c r="F119" s="162" t="s">
        <v>1022</v>
      </c>
      <c r="G119" s="163" t="s">
        <v>116</v>
      </c>
      <c r="H119" s="163" t="s">
        <v>32</v>
      </c>
      <c r="I119" s="164" t="s">
        <v>97</v>
      </c>
      <c r="J119" s="324">
        <v>44062</v>
      </c>
      <c r="K119" s="315" t="s">
        <v>33</v>
      </c>
      <c r="L119" s="322">
        <v>6180000</v>
      </c>
      <c r="M119" s="49" t="s">
        <v>828</v>
      </c>
    </row>
    <row r="120" spans="1:13" ht="14.4" x14ac:dyDescent="0.3">
      <c r="A120" s="51"/>
      <c r="B120" s="53">
        <v>44061</v>
      </c>
      <c r="C120" s="164" t="s">
        <v>1076</v>
      </c>
      <c r="D120" s="162" t="s">
        <v>31</v>
      </c>
      <c r="E120" s="162" t="s">
        <v>1020</v>
      </c>
      <c r="F120" s="162" t="s">
        <v>1022</v>
      </c>
      <c r="G120" s="163" t="s">
        <v>116</v>
      </c>
      <c r="H120" s="163" t="s">
        <v>32</v>
      </c>
      <c r="I120" s="164" t="s">
        <v>97</v>
      </c>
      <c r="J120" s="324">
        <v>44062</v>
      </c>
      <c r="K120" s="315" t="s">
        <v>33</v>
      </c>
      <c r="L120" s="322">
        <v>6180000</v>
      </c>
      <c r="M120" s="49" t="s">
        <v>828</v>
      </c>
    </row>
    <row r="121" spans="1:13" ht="14.4" x14ac:dyDescent="0.3">
      <c r="A121" s="51"/>
      <c r="B121" s="316">
        <v>44061</v>
      </c>
      <c r="C121" s="162" t="s">
        <v>1077</v>
      </c>
      <c r="D121" s="162" t="s">
        <v>31</v>
      </c>
      <c r="E121" s="162" t="s">
        <v>1020</v>
      </c>
      <c r="F121" s="162" t="s">
        <v>1022</v>
      </c>
      <c r="G121" s="163" t="s">
        <v>116</v>
      </c>
      <c r="H121" s="163" t="s">
        <v>32</v>
      </c>
      <c r="I121" s="164" t="s">
        <v>97</v>
      </c>
      <c r="J121" s="163">
        <v>44062</v>
      </c>
      <c r="K121" s="315" t="s">
        <v>33</v>
      </c>
      <c r="L121" s="322">
        <v>6180000</v>
      </c>
      <c r="M121" s="320" t="s">
        <v>828</v>
      </c>
    </row>
    <row r="122" spans="1:13" ht="14.4" x14ac:dyDescent="0.3">
      <c r="A122" s="51"/>
      <c r="B122" s="316">
        <v>44061</v>
      </c>
      <c r="C122" s="162" t="s">
        <v>1078</v>
      </c>
      <c r="D122" s="162" t="s">
        <v>31</v>
      </c>
      <c r="E122" s="162" t="s">
        <v>1020</v>
      </c>
      <c r="F122" s="162" t="s">
        <v>1022</v>
      </c>
      <c r="G122" s="163" t="s">
        <v>116</v>
      </c>
      <c r="H122" s="163" t="s">
        <v>32</v>
      </c>
      <c r="I122" s="164" t="s">
        <v>97</v>
      </c>
      <c r="J122" s="163">
        <v>44062</v>
      </c>
      <c r="K122" s="315" t="s">
        <v>33</v>
      </c>
      <c r="L122" s="322">
        <v>6180000</v>
      </c>
      <c r="M122" s="320" t="s">
        <v>828</v>
      </c>
    </row>
    <row r="123" spans="1:13" ht="14.4" x14ac:dyDescent="0.3">
      <c r="A123" s="51"/>
      <c r="B123" s="316">
        <v>44061</v>
      </c>
      <c r="C123" s="162" t="s">
        <v>1079</v>
      </c>
      <c r="D123" s="162" t="s">
        <v>31</v>
      </c>
      <c r="E123" s="162" t="s">
        <v>1020</v>
      </c>
      <c r="F123" s="162" t="s">
        <v>1022</v>
      </c>
      <c r="G123" s="163" t="s">
        <v>116</v>
      </c>
      <c r="H123" s="163" t="s">
        <v>32</v>
      </c>
      <c r="I123" s="164" t="s">
        <v>97</v>
      </c>
      <c r="J123" s="163">
        <v>44062</v>
      </c>
      <c r="K123" s="315" t="s">
        <v>33</v>
      </c>
      <c r="L123" s="322">
        <v>6180000</v>
      </c>
      <c r="M123" s="320" t="s">
        <v>828</v>
      </c>
    </row>
    <row r="124" spans="1:13" ht="14.4" x14ac:dyDescent="0.3">
      <c r="A124" s="51"/>
      <c r="B124" s="316">
        <v>44061</v>
      </c>
      <c r="C124" s="162" t="s">
        <v>1080</v>
      </c>
      <c r="D124" s="162" t="s">
        <v>31</v>
      </c>
      <c r="E124" s="162" t="s">
        <v>1020</v>
      </c>
      <c r="F124" s="162" t="s">
        <v>1022</v>
      </c>
      <c r="G124" s="163" t="s">
        <v>116</v>
      </c>
      <c r="H124" s="163" t="s">
        <v>32</v>
      </c>
      <c r="I124" s="164" t="s">
        <v>97</v>
      </c>
      <c r="J124" s="163">
        <v>44062</v>
      </c>
      <c r="K124" s="315" t="s">
        <v>33</v>
      </c>
      <c r="L124" s="322">
        <v>6180000</v>
      </c>
      <c r="M124" s="317" t="s">
        <v>828</v>
      </c>
    </row>
    <row r="125" spans="1:13" ht="14.4" x14ac:dyDescent="0.3">
      <c r="A125" s="51"/>
      <c r="B125" s="316">
        <v>44061</v>
      </c>
      <c r="C125" s="162" t="s">
        <v>1081</v>
      </c>
      <c r="D125" s="162" t="s">
        <v>31</v>
      </c>
      <c r="E125" s="162" t="s">
        <v>1020</v>
      </c>
      <c r="F125" s="162" t="s">
        <v>1022</v>
      </c>
      <c r="G125" s="163" t="s">
        <v>116</v>
      </c>
      <c r="H125" s="163" t="s">
        <v>32</v>
      </c>
      <c r="I125" s="164" t="s">
        <v>97</v>
      </c>
      <c r="J125" s="163">
        <v>44062</v>
      </c>
      <c r="K125" s="315" t="s">
        <v>33</v>
      </c>
      <c r="L125" s="322">
        <v>6180000</v>
      </c>
      <c r="M125" s="317" t="s">
        <v>828</v>
      </c>
    </row>
    <row r="126" spans="1:13" ht="14.4" x14ac:dyDescent="0.3">
      <c r="A126" s="51"/>
      <c r="B126" s="316">
        <v>44061</v>
      </c>
      <c r="C126" s="162" t="s">
        <v>1082</v>
      </c>
      <c r="D126" s="162" t="s">
        <v>31</v>
      </c>
      <c r="E126" s="162" t="s">
        <v>1020</v>
      </c>
      <c r="F126" s="162" t="s">
        <v>1022</v>
      </c>
      <c r="G126" s="163" t="s">
        <v>116</v>
      </c>
      <c r="H126" s="163" t="s">
        <v>32</v>
      </c>
      <c r="I126" s="164" t="s">
        <v>97</v>
      </c>
      <c r="J126" s="163">
        <v>44062</v>
      </c>
      <c r="K126" s="315" t="s">
        <v>33</v>
      </c>
      <c r="L126" s="322">
        <v>6180000</v>
      </c>
      <c r="M126" s="320" t="s">
        <v>828</v>
      </c>
    </row>
    <row r="127" spans="1:13" ht="14.4" x14ac:dyDescent="0.3">
      <c r="A127" s="51"/>
      <c r="B127" s="316">
        <v>44061</v>
      </c>
      <c r="C127" s="162" t="s">
        <v>1083</v>
      </c>
      <c r="D127" s="162" t="s">
        <v>31</v>
      </c>
      <c r="E127" s="162" t="s">
        <v>1020</v>
      </c>
      <c r="F127" s="162" t="s">
        <v>1022</v>
      </c>
      <c r="G127" s="163" t="s">
        <v>116</v>
      </c>
      <c r="H127" s="163" t="s">
        <v>32</v>
      </c>
      <c r="I127" s="164" t="s">
        <v>97</v>
      </c>
      <c r="J127" s="163">
        <v>44062</v>
      </c>
      <c r="K127" s="315" t="s">
        <v>33</v>
      </c>
      <c r="L127" s="322">
        <v>6180000</v>
      </c>
      <c r="M127" s="320" t="s">
        <v>828</v>
      </c>
    </row>
    <row r="128" spans="1:13" ht="14.4" x14ac:dyDescent="0.3">
      <c r="A128" s="51"/>
      <c r="B128" s="316">
        <v>44061</v>
      </c>
      <c r="C128" s="162" t="s">
        <v>1084</v>
      </c>
      <c r="D128" s="162" t="s">
        <v>31</v>
      </c>
      <c r="E128" s="162" t="s">
        <v>1020</v>
      </c>
      <c r="F128" s="162" t="s">
        <v>1022</v>
      </c>
      <c r="G128" s="163" t="s">
        <v>116</v>
      </c>
      <c r="H128" s="163" t="s">
        <v>32</v>
      </c>
      <c r="I128" s="164" t="s">
        <v>97</v>
      </c>
      <c r="J128" s="163">
        <v>44062</v>
      </c>
      <c r="K128" s="315" t="s">
        <v>33</v>
      </c>
      <c r="L128" s="322">
        <v>6180000</v>
      </c>
      <c r="M128" s="320" t="s">
        <v>828</v>
      </c>
    </row>
    <row r="129" spans="1:13" ht="14.4" x14ac:dyDescent="0.3">
      <c r="A129" s="51"/>
      <c r="B129" s="316">
        <v>44061</v>
      </c>
      <c r="C129" s="162" t="s">
        <v>1085</v>
      </c>
      <c r="D129" s="162" t="s">
        <v>31</v>
      </c>
      <c r="E129" s="162" t="s">
        <v>1020</v>
      </c>
      <c r="F129" s="162" t="s">
        <v>1022</v>
      </c>
      <c r="G129" s="163" t="s">
        <v>116</v>
      </c>
      <c r="H129" s="163" t="s">
        <v>32</v>
      </c>
      <c r="I129" s="164" t="s">
        <v>97</v>
      </c>
      <c r="J129" s="163">
        <v>44062</v>
      </c>
      <c r="K129" s="315" t="s">
        <v>33</v>
      </c>
      <c r="L129" s="322">
        <v>6180000</v>
      </c>
      <c r="M129" s="320" t="s">
        <v>828</v>
      </c>
    </row>
    <row r="130" spans="1:13" ht="14.4" x14ac:dyDescent="0.3">
      <c r="A130" s="51"/>
      <c r="B130" s="316">
        <v>44061</v>
      </c>
      <c r="C130" s="162" t="s">
        <v>1086</v>
      </c>
      <c r="D130" s="162" t="s">
        <v>31</v>
      </c>
      <c r="E130" s="162" t="s">
        <v>1020</v>
      </c>
      <c r="F130" s="162" t="s">
        <v>1022</v>
      </c>
      <c r="G130" s="163" t="s">
        <v>116</v>
      </c>
      <c r="H130" s="163" t="s">
        <v>32</v>
      </c>
      <c r="I130" s="164" t="s">
        <v>97</v>
      </c>
      <c r="J130" s="163">
        <v>44062</v>
      </c>
      <c r="K130" s="315" t="s">
        <v>33</v>
      </c>
      <c r="L130" s="322">
        <v>6180000</v>
      </c>
      <c r="M130" s="320" t="s">
        <v>828</v>
      </c>
    </row>
    <row r="131" spans="1:13" ht="14.4" x14ac:dyDescent="0.3">
      <c r="A131" s="51"/>
      <c r="B131" s="316">
        <v>44061</v>
      </c>
      <c r="C131" s="162" t="s">
        <v>1087</v>
      </c>
      <c r="D131" s="162" t="s">
        <v>31</v>
      </c>
      <c r="E131" s="162" t="s">
        <v>1020</v>
      </c>
      <c r="F131" s="162" t="s">
        <v>1022</v>
      </c>
      <c r="G131" s="163" t="s">
        <v>116</v>
      </c>
      <c r="H131" s="163" t="s">
        <v>32</v>
      </c>
      <c r="I131" s="164" t="s">
        <v>97</v>
      </c>
      <c r="J131" s="163">
        <v>44062</v>
      </c>
      <c r="K131" s="315" t="s">
        <v>33</v>
      </c>
      <c r="L131" s="322">
        <v>6180000</v>
      </c>
      <c r="M131" s="320" t="s">
        <v>828</v>
      </c>
    </row>
    <row r="132" spans="1:13" ht="14.4" x14ac:dyDescent="0.3">
      <c r="A132" s="51"/>
      <c r="B132" s="316">
        <v>44061</v>
      </c>
      <c r="C132" s="162" t="s">
        <v>1088</v>
      </c>
      <c r="D132" s="162" t="s">
        <v>31</v>
      </c>
      <c r="E132" s="162" t="s">
        <v>1020</v>
      </c>
      <c r="F132" s="162" t="s">
        <v>1022</v>
      </c>
      <c r="G132" s="163" t="s">
        <v>116</v>
      </c>
      <c r="H132" s="163" t="s">
        <v>32</v>
      </c>
      <c r="I132" s="164" t="s">
        <v>97</v>
      </c>
      <c r="J132" s="163">
        <v>44062</v>
      </c>
      <c r="K132" s="315" t="s">
        <v>33</v>
      </c>
      <c r="L132" s="322">
        <v>6180000</v>
      </c>
      <c r="M132" s="320" t="s">
        <v>828</v>
      </c>
    </row>
    <row r="133" spans="1:13" ht="14.4" x14ac:dyDescent="0.3">
      <c r="A133" s="51"/>
      <c r="B133" s="316">
        <v>44061</v>
      </c>
      <c r="C133" s="162" t="s">
        <v>1089</v>
      </c>
      <c r="D133" s="162" t="s">
        <v>31</v>
      </c>
      <c r="E133" s="162" t="s">
        <v>1020</v>
      </c>
      <c r="F133" s="162" t="s">
        <v>1022</v>
      </c>
      <c r="G133" s="163" t="s">
        <v>116</v>
      </c>
      <c r="H133" s="163" t="s">
        <v>32</v>
      </c>
      <c r="I133" s="164" t="s">
        <v>97</v>
      </c>
      <c r="J133" s="163">
        <v>44062</v>
      </c>
      <c r="K133" s="315" t="s">
        <v>33</v>
      </c>
      <c r="L133" s="322">
        <v>6180000</v>
      </c>
      <c r="M133" s="320" t="s">
        <v>828</v>
      </c>
    </row>
    <row r="134" spans="1:13" ht="14.4" x14ac:dyDescent="0.3">
      <c r="A134" s="51"/>
      <c r="B134" s="316">
        <v>44061</v>
      </c>
      <c r="C134" s="162" t="s">
        <v>1090</v>
      </c>
      <c r="D134" s="162" t="s">
        <v>31</v>
      </c>
      <c r="E134" s="162" t="s">
        <v>1020</v>
      </c>
      <c r="F134" s="162" t="s">
        <v>1022</v>
      </c>
      <c r="G134" s="163" t="s">
        <v>116</v>
      </c>
      <c r="H134" s="163" t="s">
        <v>32</v>
      </c>
      <c r="I134" s="164" t="s">
        <v>97</v>
      </c>
      <c r="J134" s="163">
        <v>44062</v>
      </c>
      <c r="K134" s="315" t="s">
        <v>33</v>
      </c>
      <c r="L134" s="322">
        <v>6180000</v>
      </c>
      <c r="M134" s="320" t="s">
        <v>828</v>
      </c>
    </row>
    <row r="135" spans="1:13" ht="14.4" x14ac:dyDescent="0.3">
      <c r="A135" s="51"/>
      <c r="B135" s="316">
        <v>44061</v>
      </c>
      <c r="C135" s="162" t="s">
        <v>1091</v>
      </c>
      <c r="D135" s="162" t="s">
        <v>31</v>
      </c>
      <c r="E135" s="162" t="s">
        <v>1020</v>
      </c>
      <c r="F135" s="162" t="s">
        <v>1022</v>
      </c>
      <c r="G135" s="163" t="s">
        <v>116</v>
      </c>
      <c r="H135" s="163" t="s">
        <v>32</v>
      </c>
      <c r="I135" s="164" t="s">
        <v>97</v>
      </c>
      <c r="J135" s="163">
        <v>44062</v>
      </c>
      <c r="K135" s="315" t="s">
        <v>33</v>
      </c>
      <c r="L135" s="322">
        <v>6180000</v>
      </c>
      <c r="M135" s="320" t="s">
        <v>828</v>
      </c>
    </row>
    <row r="136" spans="1:13" ht="14.4" x14ac:dyDescent="0.3">
      <c r="A136" s="51"/>
      <c r="B136" s="316">
        <v>44061</v>
      </c>
      <c r="C136" s="162" t="s">
        <v>1092</v>
      </c>
      <c r="D136" s="162" t="s">
        <v>31</v>
      </c>
      <c r="E136" s="162" t="s">
        <v>1020</v>
      </c>
      <c r="F136" s="162" t="s">
        <v>1022</v>
      </c>
      <c r="G136" s="163" t="s">
        <v>116</v>
      </c>
      <c r="H136" s="163" t="s">
        <v>32</v>
      </c>
      <c r="I136" s="164" t="s">
        <v>97</v>
      </c>
      <c r="J136" s="163">
        <v>44062</v>
      </c>
      <c r="K136" s="315" t="s">
        <v>33</v>
      </c>
      <c r="L136" s="322">
        <v>6180000</v>
      </c>
      <c r="M136" s="320" t="s">
        <v>828</v>
      </c>
    </row>
    <row r="137" spans="1:13" ht="14.4" x14ac:dyDescent="0.3">
      <c r="A137" s="51"/>
      <c r="B137" s="316">
        <v>44061</v>
      </c>
      <c r="C137" s="162" t="s">
        <v>1093</v>
      </c>
      <c r="D137" s="162" t="s">
        <v>31</v>
      </c>
      <c r="E137" s="162" t="s">
        <v>1020</v>
      </c>
      <c r="F137" s="162" t="s">
        <v>1022</v>
      </c>
      <c r="G137" s="163" t="s">
        <v>116</v>
      </c>
      <c r="H137" s="163" t="s">
        <v>32</v>
      </c>
      <c r="I137" s="164" t="s">
        <v>97</v>
      </c>
      <c r="J137" s="163">
        <v>44062</v>
      </c>
      <c r="K137" s="315" t="s">
        <v>33</v>
      </c>
      <c r="L137" s="322">
        <v>6180000</v>
      </c>
      <c r="M137" s="320" t="s">
        <v>828</v>
      </c>
    </row>
    <row r="138" spans="1:13" ht="14.4" x14ac:dyDescent="0.3">
      <c r="A138" s="51"/>
      <c r="B138" s="316">
        <v>44061</v>
      </c>
      <c r="C138" s="162" t="s">
        <v>1094</v>
      </c>
      <c r="D138" s="162" t="s">
        <v>31</v>
      </c>
      <c r="E138" s="162" t="s">
        <v>1020</v>
      </c>
      <c r="F138" s="162" t="s">
        <v>1022</v>
      </c>
      <c r="G138" s="163" t="s">
        <v>116</v>
      </c>
      <c r="H138" s="163" t="s">
        <v>32</v>
      </c>
      <c r="I138" s="164" t="s">
        <v>97</v>
      </c>
      <c r="J138" s="163">
        <v>44062</v>
      </c>
      <c r="K138" s="315" t="s">
        <v>33</v>
      </c>
      <c r="L138" s="322">
        <v>6180000</v>
      </c>
      <c r="M138" s="320" t="s">
        <v>828</v>
      </c>
    </row>
    <row r="139" spans="1:13" ht="14.4" x14ac:dyDescent="0.3">
      <c r="A139" s="51"/>
      <c r="B139" s="316">
        <v>44061</v>
      </c>
      <c r="C139" s="162" t="s">
        <v>1095</v>
      </c>
      <c r="D139" s="162" t="s">
        <v>31</v>
      </c>
      <c r="E139" s="162" t="s">
        <v>1020</v>
      </c>
      <c r="F139" s="162" t="s">
        <v>1022</v>
      </c>
      <c r="G139" s="163" t="s">
        <v>116</v>
      </c>
      <c r="H139" s="163" t="s">
        <v>32</v>
      </c>
      <c r="I139" s="164" t="s">
        <v>97</v>
      </c>
      <c r="J139" s="163">
        <v>44062</v>
      </c>
      <c r="K139" s="315" t="s">
        <v>33</v>
      </c>
      <c r="L139" s="322">
        <v>6180000</v>
      </c>
      <c r="M139" s="320" t="s">
        <v>828</v>
      </c>
    </row>
    <row r="140" spans="1:13" ht="14.4" x14ac:dyDescent="0.3">
      <c r="A140" s="51"/>
      <c r="B140" s="316">
        <v>44061</v>
      </c>
      <c r="C140" s="162" t="s">
        <v>1096</v>
      </c>
      <c r="D140" s="162" t="s">
        <v>31</v>
      </c>
      <c r="E140" s="162" t="s">
        <v>1020</v>
      </c>
      <c r="F140" s="162" t="s">
        <v>1022</v>
      </c>
      <c r="G140" s="163" t="s">
        <v>116</v>
      </c>
      <c r="H140" s="163" t="s">
        <v>32</v>
      </c>
      <c r="I140" s="164" t="s">
        <v>97</v>
      </c>
      <c r="J140" s="163">
        <v>44062</v>
      </c>
      <c r="K140" s="315" t="s">
        <v>33</v>
      </c>
      <c r="L140" s="322">
        <v>6180000</v>
      </c>
      <c r="M140" s="320" t="s">
        <v>828</v>
      </c>
    </row>
    <row r="141" spans="1:13" ht="14.4" x14ac:dyDescent="0.3">
      <c r="A141" s="51"/>
      <c r="B141" s="316">
        <v>44061</v>
      </c>
      <c r="C141" s="162" t="s">
        <v>1097</v>
      </c>
      <c r="D141" s="162" t="s">
        <v>31</v>
      </c>
      <c r="E141" s="162" t="s">
        <v>1020</v>
      </c>
      <c r="F141" s="162" t="s">
        <v>1022</v>
      </c>
      <c r="G141" s="163" t="s">
        <v>116</v>
      </c>
      <c r="H141" s="163" t="s">
        <v>32</v>
      </c>
      <c r="I141" s="164" t="s">
        <v>97</v>
      </c>
      <c r="J141" s="163">
        <v>44062</v>
      </c>
      <c r="K141" s="315" t="s">
        <v>33</v>
      </c>
      <c r="L141" s="322">
        <v>6180000</v>
      </c>
      <c r="M141" s="320" t="s">
        <v>828</v>
      </c>
    </row>
    <row r="142" spans="1:13" ht="14.4" x14ac:dyDescent="0.3">
      <c r="A142" s="51"/>
      <c r="B142" s="316">
        <v>44061</v>
      </c>
      <c r="C142" s="162" t="s">
        <v>1098</v>
      </c>
      <c r="D142" s="162" t="s">
        <v>31</v>
      </c>
      <c r="E142" s="162" t="s">
        <v>1020</v>
      </c>
      <c r="F142" s="162" t="s">
        <v>1022</v>
      </c>
      <c r="G142" s="163" t="s">
        <v>116</v>
      </c>
      <c r="H142" s="163" t="s">
        <v>32</v>
      </c>
      <c r="I142" s="164" t="s">
        <v>97</v>
      </c>
      <c r="J142" s="163">
        <v>44062</v>
      </c>
      <c r="K142" s="315" t="s">
        <v>33</v>
      </c>
      <c r="L142" s="322">
        <v>6180000</v>
      </c>
      <c r="M142" s="320" t="s">
        <v>828</v>
      </c>
    </row>
    <row r="143" spans="1:13" ht="14.4" x14ac:dyDescent="0.3">
      <c r="A143" s="51"/>
      <c r="B143" s="316">
        <v>44061</v>
      </c>
      <c r="C143" s="162" t="s">
        <v>1099</v>
      </c>
      <c r="D143" s="162" t="s">
        <v>31</v>
      </c>
      <c r="E143" s="162" t="s">
        <v>1020</v>
      </c>
      <c r="F143" s="162" t="s">
        <v>1022</v>
      </c>
      <c r="G143" s="163" t="s">
        <v>116</v>
      </c>
      <c r="H143" s="163" t="s">
        <v>32</v>
      </c>
      <c r="I143" s="164" t="s">
        <v>97</v>
      </c>
      <c r="J143" s="163">
        <v>44062</v>
      </c>
      <c r="K143" s="315" t="s">
        <v>33</v>
      </c>
      <c r="L143" s="322">
        <v>6180000</v>
      </c>
      <c r="M143" s="320" t="s">
        <v>828</v>
      </c>
    </row>
    <row r="144" spans="1:13" ht="14.4" x14ac:dyDescent="0.3">
      <c r="A144" s="51"/>
      <c r="B144" s="316">
        <v>44061</v>
      </c>
      <c r="C144" s="162" t="s">
        <v>1100</v>
      </c>
      <c r="D144" s="162" t="s">
        <v>31</v>
      </c>
      <c r="E144" s="162" t="s">
        <v>1020</v>
      </c>
      <c r="F144" s="162" t="s">
        <v>1022</v>
      </c>
      <c r="G144" s="163" t="s">
        <v>116</v>
      </c>
      <c r="H144" s="163" t="s">
        <v>32</v>
      </c>
      <c r="I144" s="164" t="s">
        <v>97</v>
      </c>
      <c r="J144" s="163">
        <v>44062</v>
      </c>
      <c r="K144" s="315" t="s">
        <v>33</v>
      </c>
      <c r="L144" s="322">
        <v>6180000</v>
      </c>
      <c r="M144" s="320" t="s">
        <v>828</v>
      </c>
    </row>
    <row r="145" spans="1:13" ht="14.4" x14ac:dyDescent="0.3">
      <c r="A145" s="51"/>
      <c r="B145" s="316">
        <v>44061</v>
      </c>
      <c r="C145" s="162" t="s">
        <v>1101</v>
      </c>
      <c r="D145" s="162" t="s">
        <v>31</v>
      </c>
      <c r="E145" s="162" t="s">
        <v>1020</v>
      </c>
      <c r="F145" s="162" t="s">
        <v>1022</v>
      </c>
      <c r="G145" s="163" t="s">
        <v>116</v>
      </c>
      <c r="H145" s="163" t="s">
        <v>32</v>
      </c>
      <c r="I145" s="164" t="s">
        <v>97</v>
      </c>
      <c r="J145" s="163">
        <v>44062</v>
      </c>
      <c r="K145" s="315" t="s">
        <v>33</v>
      </c>
      <c r="L145" s="322">
        <v>6180000</v>
      </c>
      <c r="M145" s="320" t="s">
        <v>828</v>
      </c>
    </row>
    <row r="146" spans="1:13" ht="14.4" x14ac:dyDescent="0.3">
      <c r="A146" s="51"/>
      <c r="B146" s="316">
        <v>44061</v>
      </c>
      <c r="C146" s="162" t="s">
        <v>1102</v>
      </c>
      <c r="D146" s="162" t="s">
        <v>31</v>
      </c>
      <c r="E146" s="162" t="s">
        <v>1020</v>
      </c>
      <c r="F146" s="162" t="s">
        <v>1022</v>
      </c>
      <c r="G146" s="163" t="s">
        <v>116</v>
      </c>
      <c r="H146" s="163" t="s">
        <v>32</v>
      </c>
      <c r="I146" s="164" t="s">
        <v>97</v>
      </c>
      <c r="J146" s="163">
        <v>44062</v>
      </c>
      <c r="K146" s="315" t="s">
        <v>33</v>
      </c>
      <c r="L146" s="322">
        <v>6180000</v>
      </c>
      <c r="M146" s="320" t="s">
        <v>828</v>
      </c>
    </row>
    <row r="147" spans="1:13" ht="14.4" x14ac:dyDescent="0.3">
      <c r="A147" s="51"/>
      <c r="B147" s="316">
        <v>44061</v>
      </c>
      <c r="C147" s="162" t="s">
        <v>1103</v>
      </c>
      <c r="D147" s="162" t="s">
        <v>31</v>
      </c>
      <c r="E147" s="162" t="s">
        <v>1020</v>
      </c>
      <c r="F147" s="162" t="s">
        <v>1022</v>
      </c>
      <c r="G147" s="163" t="s">
        <v>116</v>
      </c>
      <c r="H147" s="163" t="s">
        <v>32</v>
      </c>
      <c r="I147" s="164" t="s">
        <v>97</v>
      </c>
      <c r="J147" s="163">
        <v>44062</v>
      </c>
      <c r="K147" s="315" t="s">
        <v>33</v>
      </c>
      <c r="L147" s="322">
        <v>6180000</v>
      </c>
      <c r="M147" s="320" t="s">
        <v>828</v>
      </c>
    </row>
    <row r="148" spans="1:13" ht="14.4" x14ac:dyDescent="0.3">
      <c r="A148" s="51"/>
      <c r="B148" s="316">
        <v>44061</v>
      </c>
      <c r="C148" s="162" t="s">
        <v>1104</v>
      </c>
      <c r="D148" s="162" t="s">
        <v>31</v>
      </c>
      <c r="E148" s="162" t="s">
        <v>1020</v>
      </c>
      <c r="F148" s="162" t="s">
        <v>1022</v>
      </c>
      <c r="G148" s="163" t="s">
        <v>116</v>
      </c>
      <c r="H148" s="163" t="s">
        <v>32</v>
      </c>
      <c r="I148" s="164" t="s">
        <v>97</v>
      </c>
      <c r="J148" s="163">
        <v>44062</v>
      </c>
      <c r="K148" s="315" t="s">
        <v>33</v>
      </c>
      <c r="L148" s="322">
        <v>6180000</v>
      </c>
      <c r="M148" s="320" t="s">
        <v>828</v>
      </c>
    </row>
    <row r="149" spans="1:13" ht="14.4" x14ac:dyDescent="0.3">
      <c r="A149" s="51"/>
      <c r="B149" s="316">
        <v>44061</v>
      </c>
      <c r="C149" s="162" t="s">
        <v>1105</v>
      </c>
      <c r="D149" s="162" t="s">
        <v>31</v>
      </c>
      <c r="E149" s="162" t="s">
        <v>1020</v>
      </c>
      <c r="F149" s="162" t="s">
        <v>1022</v>
      </c>
      <c r="G149" s="163" t="s">
        <v>116</v>
      </c>
      <c r="H149" s="163" t="s">
        <v>32</v>
      </c>
      <c r="I149" s="164" t="s">
        <v>97</v>
      </c>
      <c r="J149" s="163">
        <v>44062</v>
      </c>
      <c r="K149" s="315" t="s">
        <v>33</v>
      </c>
      <c r="L149" s="322">
        <v>6180000</v>
      </c>
      <c r="M149" s="320" t="s">
        <v>828</v>
      </c>
    </row>
    <row r="150" spans="1:13" ht="14.4" x14ac:dyDescent="0.3">
      <c r="A150" s="51"/>
      <c r="B150" s="316">
        <v>44061</v>
      </c>
      <c r="C150" s="162" t="s">
        <v>1109</v>
      </c>
      <c r="D150" s="162" t="s">
        <v>31</v>
      </c>
      <c r="E150" s="162" t="s">
        <v>1020</v>
      </c>
      <c r="F150" s="162" t="s">
        <v>1022</v>
      </c>
      <c r="G150" s="163" t="s">
        <v>116</v>
      </c>
      <c r="H150" s="163" t="s">
        <v>32</v>
      </c>
      <c r="I150" s="164" t="s">
        <v>97</v>
      </c>
      <c r="J150" s="163">
        <v>44062</v>
      </c>
      <c r="K150" s="315" t="s">
        <v>33</v>
      </c>
      <c r="L150" s="322">
        <v>6180000</v>
      </c>
      <c r="M150" s="320" t="s">
        <v>828</v>
      </c>
    </row>
    <row r="151" spans="1:13" ht="14.4" x14ac:dyDescent="0.3">
      <c r="A151" s="51"/>
      <c r="B151" s="316">
        <v>44061</v>
      </c>
      <c r="C151" s="162" t="s">
        <v>1110</v>
      </c>
      <c r="D151" s="162" t="s">
        <v>31</v>
      </c>
      <c r="E151" s="162" t="s">
        <v>1020</v>
      </c>
      <c r="F151" s="162" t="s">
        <v>1022</v>
      </c>
      <c r="G151" s="163" t="s">
        <v>116</v>
      </c>
      <c r="H151" s="163" t="s">
        <v>32</v>
      </c>
      <c r="I151" s="164" t="s">
        <v>97</v>
      </c>
      <c r="J151" s="163">
        <v>44062</v>
      </c>
      <c r="K151" s="315" t="s">
        <v>33</v>
      </c>
      <c r="L151" s="322">
        <v>6180000</v>
      </c>
      <c r="M151" s="320" t="s">
        <v>828</v>
      </c>
    </row>
    <row r="152" spans="1:13" ht="14.4" x14ac:dyDescent="0.3">
      <c r="A152" s="51"/>
      <c r="B152" s="316">
        <v>44061</v>
      </c>
      <c r="C152" s="162" t="s">
        <v>1111</v>
      </c>
      <c r="D152" s="162" t="s">
        <v>31</v>
      </c>
      <c r="E152" s="162" t="s">
        <v>1020</v>
      </c>
      <c r="F152" s="162" t="s">
        <v>1022</v>
      </c>
      <c r="G152" s="163" t="s">
        <v>116</v>
      </c>
      <c r="H152" s="163" t="s">
        <v>32</v>
      </c>
      <c r="I152" s="164" t="s">
        <v>97</v>
      </c>
      <c r="J152" s="163">
        <v>44062</v>
      </c>
      <c r="K152" s="315" t="s">
        <v>33</v>
      </c>
      <c r="L152" s="322">
        <v>6180000</v>
      </c>
      <c r="M152" s="320" t="s">
        <v>828</v>
      </c>
    </row>
    <row r="153" spans="1:13" ht="14.4" x14ac:dyDescent="0.3">
      <c r="A153" s="51"/>
      <c r="B153" s="316">
        <v>44061</v>
      </c>
      <c r="C153" s="162" t="s">
        <v>1112</v>
      </c>
      <c r="D153" s="162" t="s">
        <v>31</v>
      </c>
      <c r="E153" s="162" t="s">
        <v>1020</v>
      </c>
      <c r="F153" s="162" t="s">
        <v>1022</v>
      </c>
      <c r="G153" s="163" t="s">
        <v>116</v>
      </c>
      <c r="H153" s="163" t="s">
        <v>32</v>
      </c>
      <c r="I153" s="164" t="s">
        <v>97</v>
      </c>
      <c r="J153" s="163">
        <v>44062</v>
      </c>
      <c r="K153" s="315" t="s">
        <v>33</v>
      </c>
      <c r="L153" s="322">
        <v>6180000</v>
      </c>
      <c r="M153" s="320" t="s">
        <v>828</v>
      </c>
    </row>
    <row r="154" spans="1:13" ht="14.4" x14ac:dyDescent="0.3">
      <c r="B154" s="316">
        <v>44061</v>
      </c>
      <c r="C154" s="162" t="s">
        <v>1113</v>
      </c>
      <c r="D154" s="162" t="s">
        <v>31</v>
      </c>
      <c r="E154" s="162" t="s">
        <v>1020</v>
      </c>
      <c r="F154" s="162" t="s">
        <v>1022</v>
      </c>
      <c r="G154" s="163" t="s">
        <v>116</v>
      </c>
      <c r="H154" s="163" t="s">
        <v>32</v>
      </c>
      <c r="I154" s="164" t="s">
        <v>97</v>
      </c>
      <c r="J154" s="163">
        <v>44062</v>
      </c>
      <c r="K154" s="315" t="s">
        <v>33</v>
      </c>
      <c r="L154" s="322">
        <v>6180000</v>
      </c>
      <c r="M154" s="320" t="s">
        <v>828</v>
      </c>
    </row>
    <row r="155" spans="1:13" ht="14.4" x14ac:dyDescent="0.3">
      <c r="B155" s="316">
        <v>44061</v>
      </c>
      <c r="C155" s="162" t="s">
        <v>1114</v>
      </c>
      <c r="D155" s="162" t="s">
        <v>31</v>
      </c>
      <c r="E155" s="162" t="s">
        <v>1020</v>
      </c>
      <c r="F155" s="162" t="s">
        <v>1022</v>
      </c>
      <c r="G155" s="163" t="s">
        <v>116</v>
      </c>
      <c r="H155" s="163" t="s">
        <v>32</v>
      </c>
      <c r="I155" s="164" t="s">
        <v>97</v>
      </c>
      <c r="J155" s="163">
        <v>44062</v>
      </c>
      <c r="K155" s="315" t="s">
        <v>33</v>
      </c>
      <c r="L155" s="322">
        <v>6180000</v>
      </c>
      <c r="M155" s="320" t="s">
        <v>828</v>
      </c>
    </row>
    <row r="156" spans="1:13" ht="14.4" x14ac:dyDescent="0.3">
      <c r="B156" s="316">
        <v>44061</v>
      </c>
      <c r="C156" s="162" t="s">
        <v>1115</v>
      </c>
      <c r="D156" s="162" t="s">
        <v>31</v>
      </c>
      <c r="E156" s="162" t="s">
        <v>1020</v>
      </c>
      <c r="F156" s="162" t="s">
        <v>1022</v>
      </c>
      <c r="G156" s="163" t="s">
        <v>116</v>
      </c>
      <c r="H156" s="163" t="s">
        <v>32</v>
      </c>
      <c r="I156" s="164" t="s">
        <v>97</v>
      </c>
      <c r="J156" s="163">
        <v>44062</v>
      </c>
      <c r="K156" s="315" t="s">
        <v>33</v>
      </c>
      <c r="L156" s="322">
        <v>6180000</v>
      </c>
      <c r="M156" s="320" t="s">
        <v>828</v>
      </c>
    </row>
    <row r="157" spans="1:13" ht="14.4" x14ac:dyDescent="0.3">
      <c r="B157" s="316">
        <v>44061</v>
      </c>
      <c r="C157" s="162" t="s">
        <v>1116</v>
      </c>
      <c r="D157" s="162" t="s">
        <v>31</v>
      </c>
      <c r="E157" s="162" t="s">
        <v>1020</v>
      </c>
      <c r="F157" s="162" t="s">
        <v>1022</v>
      </c>
      <c r="G157" s="163" t="s">
        <v>116</v>
      </c>
      <c r="H157" s="163" t="s">
        <v>32</v>
      </c>
      <c r="I157" s="164" t="s">
        <v>97</v>
      </c>
      <c r="J157" s="163">
        <v>44062</v>
      </c>
      <c r="K157" s="315" t="s">
        <v>33</v>
      </c>
      <c r="L157" s="322">
        <v>6180000</v>
      </c>
      <c r="M157" s="320" t="s">
        <v>828</v>
      </c>
    </row>
    <row r="158" spans="1:13" ht="14.4" x14ac:dyDescent="0.3">
      <c r="B158" s="316">
        <v>44061</v>
      </c>
      <c r="C158" s="162" t="s">
        <v>1117</v>
      </c>
      <c r="D158" s="162" t="s">
        <v>31</v>
      </c>
      <c r="E158" s="162" t="s">
        <v>1020</v>
      </c>
      <c r="F158" s="162" t="s">
        <v>1022</v>
      </c>
      <c r="G158" s="163" t="s">
        <v>116</v>
      </c>
      <c r="H158" s="163" t="s">
        <v>32</v>
      </c>
      <c r="I158" s="164" t="s">
        <v>97</v>
      </c>
      <c r="J158" s="163">
        <v>44062</v>
      </c>
      <c r="K158" s="315" t="s">
        <v>33</v>
      </c>
      <c r="L158" s="322">
        <v>6180000</v>
      </c>
      <c r="M158" s="320" t="s">
        <v>828</v>
      </c>
    </row>
    <row r="159" spans="1:13" ht="14.4" x14ac:dyDescent="0.3">
      <c r="B159" s="47">
        <v>44066</v>
      </c>
      <c r="C159" s="164" t="s">
        <v>1109</v>
      </c>
      <c r="D159" s="162" t="s">
        <v>31</v>
      </c>
      <c r="E159" s="162" t="s">
        <v>1020</v>
      </c>
      <c r="F159" s="162" t="s">
        <v>1022</v>
      </c>
      <c r="G159" s="163" t="s">
        <v>116</v>
      </c>
      <c r="H159" s="163" t="s">
        <v>32</v>
      </c>
      <c r="I159" s="164" t="s">
        <v>97</v>
      </c>
      <c r="J159" s="324">
        <v>44066</v>
      </c>
      <c r="K159" s="315" t="s">
        <v>33</v>
      </c>
      <c r="L159" s="322">
        <v>6210000</v>
      </c>
      <c r="M159" s="51" t="s">
        <v>828</v>
      </c>
    </row>
    <row r="160" spans="1:13" ht="14.4" x14ac:dyDescent="0.3">
      <c r="B160" s="47">
        <v>44066</v>
      </c>
      <c r="C160" s="165" t="s">
        <v>1110</v>
      </c>
      <c r="D160" s="162" t="s">
        <v>31</v>
      </c>
      <c r="E160" s="162" t="s">
        <v>1020</v>
      </c>
      <c r="F160" s="162" t="s">
        <v>1022</v>
      </c>
      <c r="G160" s="163" t="s">
        <v>116</v>
      </c>
      <c r="H160" s="163" t="s">
        <v>32</v>
      </c>
      <c r="I160" s="164" t="s">
        <v>97</v>
      </c>
      <c r="J160" s="324">
        <v>44066</v>
      </c>
      <c r="K160" s="315" t="s">
        <v>33</v>
      </c>
      <c r="L160" s="322">
        <v>6210000</v>
      </c>
      <c r="M160" s="49" t="s">
        <v>828</v>
      </c>
    </row>
    <row r="161" spans="2:13" ht="14.4" x14ac:dyDescent="0.3">
      <c r="B161" s="47">
        <v>44066</v>
      </c>
      <c r="C161" s="164" t="s">
        <v>1134</v>
      </c>
      <c r="D161" s="162" t="s">
        <v>31</v>
      </c>
      <c r="E161" s="162" t="s">
        <v>1020</v>
      </c>
      <c r="F161" s="162" t="s">
        <v>1022</v>
      </c>
      <c r="G161" s="163" t="s">
        <v>116</v>
      </c>
      <c r="H161" s="163" t="s">
        <v>38</v>
      </c>
      <c r="I161" s="164" t="s">
        <v>97</v>
      </c>
      <c r="J161" s="324">
        <v>44066</v>
      </c>
      <c r="K161" s="315" t="s">
        <v>33</v>
      </c>
      <c r="L161" s="322">
        <v>6210000</v>
      </c>
      <c r="M161" s="49" t="s">
        <v>828</v>
      </c>
    </row>
    <row r="162" spans="2:13" ht="14.4" x14ac:dyDescent="0.3">
      <c r="B162" s="316">
        <v>44066</v>
      </c>
      <c r="C162" s="162" t="s">
        <v>1135</v>
      </c>
      <c r="D162" s="162" t="s">
        <v>31</v>
      </c>
      <c r="E162" s="162" t="s">
        <v>1020</v>
      </c>
      <c r="F162" s="162" t="s">
        <v>1022</v>
      </c>
      <c r="G162" s="163" t="s">
        <v>116</v>
      </c>
      <c r="H162" s="163" t="s">
        <v>38</v>
      </c>
      <c r="I162" s="164" t="s">
        <v>97</v>
      </c>
      <c r="J162" s="163">
        <v>44066</v>
      </c>
      <c r="K162" s="315" t="s">
        <v>33</v>
      </c>
      <c r="L162" s="322">
        <v>6210000</v>
      </c>
      <c r="M162" s="320" t="s">
        <v>828</v>
      </c>
    </row>
    <row r="163" spans="2:13" ht="14.4" x14ac:dyDescent="0.3">
      <c r="B163" s="316">
        <v>44066</v>
      </c>
      <c r="C163" s="162" t="s">
        <v>1136</v>
      </c>
      <c r="D163" s="162" t="s">
        <v>31</v>
      </c>
      <c r="E163" s="162" t="s">
        <v>1020</v>
      </c>
      <c r="F163" s="162" t="s">
        <v>1022</v>
      </c>
      <c r="G163" s="163" t="s">
        <v>116</v>
      </c>
      <c r="H163" s="163" t="s">
        <v>38</v>
      </c>
      <c r="I163" s="164" t="s">
        <v>97</v>
      </c>
      <c r="J163" s="163">
        <v>44066</v>
      </c>
      <c r="K163" s="315" t="s">
        <v>33</v>
      </c>
      <c r="L163" s="322">
        <v>6210000</v>
      </c>
      <c r="M163" s="320" t="s">
        <v>828</v>
      </c>
    </row>
    <row r="164" spans="2:13" ht="14.4" x14ac:dyDescent="0.3">
      <c r="B164" s="316">
        <v>44066</v>
      </c>
      <c r="C164" s="162" t="s">
        <v>1112</v>
      </c>
      <c r="D164" s="162" t="s">
        <v>31</v>
      </c>
      <c r="E164" s="162" t="s">
        <v>1020</v>
      </c>
      <c r="F164" s="162" t="s">
        <v>1022</v>
      </c>
      <c r="G164" s="163" t="s">
        <v>116</v>
      </c>
      <c r="H164" s="163" t="s">
        <v>38</v>
      </c>
      <c r="I164" s="164" t="s">
        <v>97</v>
      </c>
      <c r="J164" s="163">
        <v>44066</v>
      </c>
      <c r="K164" s="315" t="s">
        <v>33</v>
      </c>
      <c r="L164" s="322">
        <v>6210000</v>
      </c>
      <c r="M164" s="320" t="s">
        <v>828</v>
      </c>
    </row>
    <row r="165" spans="2:13" ht="14.4" x14ac:dyDescent="0.3">
      <c r="B165" s="316">
        <v>44066</v>
      </c>
      <c r="C165" s="162" t="s">
        <v>1137</v>
      </c>
      <c r="D165" s="162" t="s">
        <v>31</v>
      </c>
      <c r="E165" s="162" t="s">
        <v>1020</v>
      </c>
      <c r="F165" s="162" t="s">
        <v>1022</v>
      </c>
      <c r="G165" s="163" t="s">
        <v>116</v>
      </c>
      <c r="H165" s="163" t="s">
        <v>38</v>
      </c>
      <c r="I165" s="164" t="s">
        <v>97</v>
      </c>
      <c r="J165" s="163">
        <v>44066</v>
      </c>
      <c r="K165" s="315" t="s">
        <v>33</v>
      </c>
      <c r="L165" s="322">
        <v>6210000</v>
      </c>
      <c r="M165" s="320" t="s">
        <v>828</v>
      </c>
    </row>
    <row r="166" spans="2:13" ht="14.4" x14ac:dyDescent="0.3">
      <c r="B166" s="316">
        <v>44066</v>
      </c>
      <c r="C166" s="162" t="s">
        <v>1115</v>
      </c>
      <c r="D166" s="162" t="s">
        <v>31</v>
      </c>
      <c r="E166" s="162" t="s">
        <v>1020</v>
      </c>
      <c r="F166" s="162" t="s">
        <v>1022</v>
      </c>
      <c r="G166" s="163" t="s">
        <v>116</v>
      </c>
      <c r="H166" s="163" t="s">
        <v>38</v>
      </c>
      <c r="I166" s="164" t="s">
        <v>97</v>
      </c>
      <c r="J166" s="163">
        <v>44066</v>
      </c>
      <c r="K166" s="315" t="s">
        <v>33</v>
      </c>
      <c r="L166" s="322">
        <v>6210000</v>
      </c>
      <c r="M166" s="320" t="s">
        <v>828</v>
      </c>
    </row>
    <row r="167" spans="2:13" ht="14.4" x14ac:dyDescent="0.3">
      <c r="B167" s="316">
        <v>44066</v>
      </c>
      <c r="C167" s="162" t="s">
        <v>1138</v>
      </c>
      <c r="D167" s="162" t="s">
        <v>31</v>
      </c>
      <c r="E167" s="162" t="s">
        <v>1020</v>
      </c>
      <c r="F167" s="162" t="s">
        <v>1022</v>
      </c>
      <c r="G167" s="163" t="s">
        <v>116</v>
      </c>
      <c r="H167" s="163" t="s">
        <v>38</v>
      </c>
      <c r="I167" s="164" t="s">
        <v>97</v>
      </c>
      <c r="J167" s="163">
        <v>44066</v>
      </c>
      <c r="K167" s="315" t="s">
        <v>33</v>
      </c>
      <c r="L167" s="322">
        <v>6210000</v>
      </c>
      <c r="M167" s="320" t="s">
        <v>828</v>
      </c>
    </row>
    <row r="168" spans="2:13" ht="14.4" x14ac:dyDescent="0.3">
      <c r="B168" s="316">
        <v>44066</v>
      </c>
      <c r="C168" s="162" t="s">
        <v>1139</v>
      </c>
      <c r="D168" s="162" t="s">
        <v>31</v>
      </c>
      <c r="E168" s="162" t="s">
        <v>1020</v>
      </c>
      <c r="F168" s="162" t="s">
        <v>1022</v>
      </c>
      <c r="G168" s="163" t="s">
        <v>116</v>
      </c>
      <c r="H168" s="163" t="s">
        <v>38</v>
      </c>
      <c r="I168" s="164" t="s">
        <v>97</v>
      </c>
      <c r="J168" s="163">
        <v>44066</v>
      </c>
      <c r="K168" s="315" t="s">
        <v>33</v>
      </c>
      <c r="L168" s="322">
        <v>6210000</v>
      </c>
      <c r="M168" s="320" t="s">
        <v>828</v>
      </c>
    </row>
    <row r="169" spans="2:13" ht="14.4" x14ac:dyDescent="0.3">
      <c r="B169" s="316">
        <v>44066</v>
      </c>
      <c r="C169" s="162" t="s">
        <v>1140</v>
      </c>
      <c r="D169" s="162" t="s">
        <v>31</v>
      </c>
      <c r="E169" s="162" t="s">
        <v>1020</v>
      </c>
      <c r="F169" s="162" t="s">
        <v>1022</v>
      </c>
      <c r="G169" s="163" t="s">
        <v>116</v>
      </c>
      <c r="H169" s="163" t="s">
        <v>38</v>
      </c>
      <c r="I169" s="164" t="s">
        <v>97</v>
      </c>
      <c r="J169" s="163">
        <v>44066</v>
      </c>
      <c r="K169" s="315" t="s">
        <v>33</v>
      </c>
      <c r="L169" s="322">
        <v>6210000</v>
      </c>
      <c r="M169" s="320" t="s">
        <v>828</v>
      </c>
    </row>
    <row r="170" spans="2:13" ht="14.4" x14ac:dyDescent="0.3">
      <c r="B170" s="316">
        <v>44061</v>
      </c>
      <c r="C170" s="162" t="s">
        <v>995</v>
      </c>
      <c r="D170" s="162" t="s">
        <v>31</v>
      </c>
      <c r="E170" s="162" t="s">
        <v>1142</v>
      </c>
      <c r="F170" s="162" t="s">
        <v>996</v>
      </c>
      <c r="G170" s="163" t="s">
        <v>301</v>
      </c>
      <c r="H170" s="163" t="s">
        <v>32</v>
      </c>
      <c r="I170" s="164" t="s">
        <v>97</v>
      </c>
      <c r="J170" s="163">
        <v>44062</v>
      </c>
      <c r="K170" s="315" t="s">
        <v>33</v>
      </c>
      <c r="L170" s="322">
        <v>6180000</v>
      </c>
      <c r="M170" s="320" t="s">
        <v>828</v>
      </c>
    </row>
    <row r="171" spans="2:13" ht="14.4" x14ac:dyDescent="0.3">
      <c r="B171" s="316">
        <v>44061</v>
      </c>
      <c r="C171" s="162" t="s">
        <v>997</v>
      </c>
      <c r="D171" s="162" t="s">
        <v>31</v>
      </c>
      <c r="E171" s="162" t="s">
        <v>1142</v>
      </c>
      <c r="F171" s="162" t="s">
        <v>996</v>
      </c>
      <c r="G171" s="163" t="s">
        <v>301</v>
      </c>
      <c r="H171" s="163" t="s">
        <v>32</v>
      </c>
      <c r="I171" s="164" t="s">
        <v>97</v>
      </c>
      <c r="J171" s="163">
        <v>44062</v>
      </c>
      <c r="K171" s="315" t="s">
        <v>33</v>
      </c>
      <c r="L171" s="322">
        <v>6180000</v>
      </c>
      <c r="M171" s="320" t="s">
        <v>828</v>
      </c>
    </row>
    <row r="172" spans="2:13" ht="14.4" x14ac:dyDescent="0.3">
      <c r="B172" s="316">
        <v>44061</v>
      </c>
      <c r="C172" s="162" t="s">
        <v>998</v>
      </c>
      <c r="D172" s="162" t="s">
        <v>31</v>
      </c>
      <c r="E172" s="162" t="s">
        <v>1142</v>
      </c>
      <c r="F172" s="162" t="s">
        <v>996</v>
      </c>
      <c r="G172" s="163" t="s">
        <v>301</v>
      </c>
      <c r="H172" s="163" t="s">
        <v>32</v>
      </c>
      <c r="I172" s="164" t="s">
        <v>97</v>
      </c>
      <c r="J172" s="163">
        <v>44062</v>
      </c>
      <c r="K172" s="315" t="s">
        <v>33</v>
      </c>
      <c r="L172" s="322">
        <v>6180000</v>
      </c>
      <c r="M172" s="320" t="s">
        <v>828</v>
      </c>
    </row>
    <row r="173" spans="2:13" ht="14.4" x14ac:dyDescent="0.3">
      <c r="B173" s="47">
        <v>44053</v>
      </c>
      <c r="C173" s="164" t="s">
        <v>1032</v>
      </c>
      <c r="D173" s="162" t="s">
        <v>31</v>
      </c>
      <c r="E173" s="162" t="s">
        <v>1142</v>
      </c>
      <c r="F173" s="162" t="s">
        <v>1033</v>
      </c>
      <c r="G173" s="163" t="s">
        <v>1034</v>
      </c>
      <c r="H173" s="163" t="s">
        <v>32</v>
      </c>
      <c r="I173" s="164" t="s">
        <v>97</v>
      </c>
      <c r="J173" s="324">
        <v>44054</v>
      </c>
      <c r="K173" s="315" t="s">
        <v>33</v>
      </c>
      <c r="L173" s="322">
        <v>6867500</v>
      </c>
      <c r="M173" s="51" t="s">
        <v>828</v>
      </c>
    </row>
    <row r="174" spans="2:13" ht="14.4" x14ac:dyDescent="0.3">
      <c r="B174" s="47">
        <v>44053</v>
      </c>
      <c r="C174" s="164" t="s">
        <v>1035</v>
      </c>
      <c r="D174" s="162" t="s">
        <v>31</v>
      </c>
      <c r="E174" s="162" t="s">
        <v>1142</v>
      </c>
      <c r="F174" s="162" t="s">
        <v>1033</v>
      </c>
      <c r="G174" s="163" t="s">
        <v>1034</v>
      </c>
      <c r="H174" s="163" t="s">
        <v>32</v>
      </c>
      <c r="I174" s="164" t="s">
        <v>97</v>
      </c>
      <c r="J174" s="324">
        <v>44054</v>
      </c>
      <c r="K174" s="315" t="s">
        <v>33</v>
      </c>
      <c r="L174" s="322">
        <v>6867500</v>
      </c>
      <c r="M174" s="51" t="s">
        <v>828</v>
      </c>
    </row>
    <row r="175" spans="2:13" ht="14.4" x14ac:dyDescent="0.3">
      <c r="B175" s="316">
        <v>44061</v>
      </c>
      <c r="C175" s="162" t="s">
        <v>1107</v>
      </c>
      <c r="D175" s="162" t="s">
        <v>31</v>
      </c>
      <c r="E175" s="162" t="s">
        <v>1142</v>
      </c>
      <c r="F175" s="162" t="s">
        <v>1108</v>
      </c>
      <c r="G175" s="163" t="s">
        <v>116</v>
      </c>
      <c r="H175" s="163" t="s">
        <v>32</v>
      </c>
      <c r="I175" s="164" t="s">
        <v>97</v>
      </c>
      <c r="J175" s="163">
        <v>44062</v>
      </c>
      <c r="K175" s="315" t="s">
        <v>33</v>
      </c>
      <c r="L175" s="322">
        <v>6180000</v>
      </c>
      <c r="M175" s="320" t="s">
        <v>828</v>
      </c>
    </row>
    <row r="176" spans="2:13" ht="14.4" x14ac:dyDescent="0.3">
      <c r="B176" s="316">
        <v>44070</v>
      </c>
      <c r="C176" s="162" t="s">
        <v>1120</v>
      </c>
      <c r="D176" s="162" t="s">
        <v>31</v>
      </c>
      <c r="E176" s="162" t="s">
        <v>1142</v>
      </c>
      <c r="F176" s="162" t="s">
        <v>1024</v>
      </c>
      <c r="G176" s="163" t="s">
        <v>116</v>
      </c>
      <c r="H176" s="163" t="s">
        <v>32</v>
      </c>
      <c r="I176" s="164" t="s">
        <v>97</v>
      </c>
      <c r="J176" s="163">
        <v>44070</v>
      </c>
      <c r="K176" s="315" t="s">
        <v>33</v>
      </c>
      <c r="L176" s="322">
        <v>6210000</v>
      </c>
      <c r="M176" s="320" t="s">
        <v>828</v>
      </c>
    </row>
    <row r="177" spans="2:13" ht="14.4" x14ac:dyDescent="0.3">
      <c r="B177" s="316">
        <v>44066</v>
      </c>
      <c r="C177" s="162" t="s">
        <v>1141</v>
      </c>
      <c r="D177" s="162" t="s">
        <v>31</v>
      </c>
      <c r="E177" s="162" t="s">
        <v>1142</v>
      </c>
      <c r="F177" s="162" t="s">
        <v>1108</v>
      </c>
      <c r="G177" s="163" t="s">
        <v>116</v>
      </c>
      <c r="H177" s="163" t="s">
        <v>38</v>
      </c>
      <c r="I177" s="164" t="s">
        <v>97</v>
      </c>
      <c r="J177" s="163">
        <v>44062</v>
      </c>
      <c r="K177" s="315" t="s">
        <v>33</v>
      </c>
      <c r="L177" s="322">
        <v>6180000</v>
      </c>
      <c r="M177" s="320" t="s">
        <v>828</v>
      </c>
    </row>
    <row r="178" spans="2:13" ht="14.4" x14ac:dyDescent="0.3">
      <c r="B178" s="316">
        <v>44050</v>
      </c>
      <c r="C178" s="162" t="s">
        <v>934</v>
      </c>
      <c r="D178" s="162" t="s">
        <v>31</v>
      </c>
      <c r="E178" s="162" t="s">
        <v>1142</v>
      </c>
      <c r="F178" s="162" t="s">
        <v>935</v>
      </c>
      <c r="G178" s="163" t="s">
        <v>301</v>
      </c>
      <c r="H178" s="163" t="s">
        <v>32</v>
      </c>
      <c r="I178" s="164" t="s">
        <v>97</v>
      </c>
      <c r="J178" s="163">
        <v>44053</v>
      </c>
      <c r="K178" s="315" t="s">
        <v>33</v>
      </c>
      <c r="L178" s="322">
        <v>7004000</v>
      </c>
      <c r="M178" s="320" t="s">
        <v>828</v>
      </c>
    </row>
    <row r="179" spans="2:13" ht="14.4" x14ac:dyDescent="0.3">
      <c r="B179" s="316">
        <v>44050</v>
      </c>
      <c r="C179" s="162" t="s">
        <v>936</v>
      </c>
      <c r="D179" s="162" t="s">
        <v>31</v>
      </c>
      <c r="E179" s="162" t="s">
        <v>1142</v>
      </c>
      <c r="F179" s="162" t="s">
        <v>935</v>
      </c>
      <c r="G179" s="163" t="s">
        <v>301</v>
      </c>
      <c r="H179" s="163" t="s">
        <v>32</v>
      </c>
      <c r="I179" s="164" t="s">
        <v>97</v>
      </c>
      <c r="J179" s="163">
        <v>44053</v>
      </c>
      <c r="K179" s="315" t="s">
        <v>33</v>
      </c>
      <c r="L179" s="322">
        <v>7004000</v>
      </c>
      <c r="M179" s="320" t="s">
        <v>828</v>
      </c>
    </row>
    <row r="180" spans="2:13" ht="14.4" x14ac:dyDescent="0.3">
      <c r="B180" s="316">
        <v>44050</v>
      </c>
      <c r="C180" s="162" t="s">
        <v>937</v>
      </c>
      <c r="D180" s="162" t="s">
        <v>31</v>
      </c>
      <c r="E180" s="162" t="s">
        <v>1142</v>
      </c>
      <c r="F180" s="162" t="s">
        <v>935</v>
      </c>
      <c r="G180" s="163" t="s">
        <v>301</v>
      </c>
      <c r="H180" s="163" t="s">
        <v>32</v>
      </c>
      <c r="I180" s="164" t="s">
        <v>97</v>
      </c>
      <c r="J180" s="163">
        <v>44053</v>
      </c>
      <c r="K180" s="315" t="s">
        <v>33</v>
      </c>
      <c r="L180" s="322">
        <v>7004000</v>
      </c>
      <c r="M180" s="320" t="s">
        <v>828</v>
      </c>
    </row>
    <row r="181" spans="2:13" ht="14.4" x14ac:dyDescent="0.3">
      <c r="B181" s="53">
        <v>44050</v>
      </c>
      <c r="C181" s="165" t="s">
        <v>938</v>
      </c>
      <c r="D181" s="162" t="s">
        <v>31</v>
      </c>
      <c r="E181" s="162" t="s">
        <v>1142</v>
      </c>
      <c r="F181" s="162" t="s">
        <v>935</v>
      </c>
      <c r="G181" s="163" t="s">
        <v>301</v>
      </c>
      <c r="H181" s="163" t="s">
        <v>32</v>
      </c>
      <c r="I181" s="164" t="s">
        <v>97</v>
      </c>
      <c r="J181" s="324">
        <v>44053</v>
      </c>
      <c r="K181" s="315" t="s">
        <v>33</v>
      </c>
      <c r="L181" s="322" t="s">
        <v>939</v>
      </c>
      <c r="M181" s="51" t="s">
        <v>828</v>
      </c>
    </row>
    <row r="182" spans="2:13" ht="14.4" x14ac:dyDescent="0.3">
      <c r="B182" s="316">
        <v>44070</v>
      </c>
      <c r="C182" s="162" t="s">
        <v>1121</v>
      </c>
      <c r="D182" s="162" t="s">
        <v>31</v>
      </c>
      <c r="E182" s="162" t="s">
        <v>1142</v>
      </c>
      <c r="F182" s="162" t="s">
        <v>1122</v>
      </c>
      <c r="G182" s="163" t="s">
        <v>1051</v>
      </c>
      <c r="H182" s="163" t="s">
        <v>32</v>
      </c>
      <c r="I182" s="164" t="s">
        <v>97</v>
      </c>
      <c r="J182" s="163">
        <v>44070</v>
      </c>
      <c r="K182" s="315" t="s">
        <v>33</v>
      </c>
      <c r="L182" s="322">
        <v>6210000</v>
      </c>
      <c r="M182" s="320" t="s">
        <v>828</v>
      </c>
    </row>
    <row r="183" spans="2:13" ht="14.4" x14ac:dyDescent="0.3">
      <c r="B183" s="316">
        <v>44070</v>
      </c>
      <c r="C183" s="162" t="s">
        <v>1123</v>
      </c>
      <c r="D183" s="162" t="s">
        <v>31</v>
      </c>
      <c r="E183" s="162" t="s">
        <v>1142</v>
      </c>
      <c r="F183" s="162" t="s">
        <v>1122</v>
      </c>
      <c r="G183" s="163" t="s">
        <v>1051</v>
      </c>
      <c r="H183" s="163" t="s">
        <v>32</v>
      </c>
      <c r="I183" s="164" t="s">
        <v>97</v>
      </c>
      <c r="J183" s="163">
        <v>44070</v>
      </c>
      <c r="K183" s="315" t="s">
        <v>33</v>
      </c>
      <c r="L183" s="322">
        <v>6210000</v>
      </c>
      <c r="M183" s="320" t="s">
        <v>828</v>
      </c>
    </row>
    <row r="184" spans="2:13" ht="14.4" x14ac:dyDescent="0.3">
      <c r="B184" s="316">
        <v>44070</v>
      </c>
      <c r="C184" s="162" t="s">
        <v>1124</v>
      </c>
      <c r="D184" s="162" t="s">
        <v>31</v>
      </c>
      <c r="E184" s="162" t="s">
        <v>1142</v>
      </c>
      <c r="F184" s="162" t="s">
        <v>1122</v>
      </c>
      <c r="G184" s="163" t="s">
        <v>1051</v>
      </c>
      <c r="H184" s="163" t="s">
        <v>32</v>
      </c>
      <c r="I184" s="164" t="s">
        <v>97</v>
      </c>
      <c r="J184" s="163">
        <v>44070</v>
      </c>
      <c r="K184" s="315" t="s">
        <v>33</v>
      </c>
      <c r="L184" s="322">
        <v>6210000</v>
      </c>
      <c r="M184" s="320" t="s">
        <v>828</v>
      </c>
    </row>
    <row r="185" spans="2:13" ht="14.4" x14ac:dyDescent="0.3">
      <c r="B185" s="47">
        <v>44051</v>
      </c>
      <c r="C185" s="164" t="s">
        <v>982</v>
      </c>
      <c r="D185" s="162" t="s">
        <v>31</v>
      </c>
      <c r="E185" s="162" t="s">
        <v>1142</v>
      </c>
      <c r="F185" s="162"/>
      <c r="G185" s="163" t="s">
        <v>301</v>
      </c>
      <c r="H185" s="163" t="s">
        <v>32</v>
      </c>
      <c r="I185" s="164" t="s">
        <v>97</v>
      </c>
      <c r="J185" s="324">
        <v>44053</v>
      </c>
      <c r="K185" s="315" t="s">
        <v>33</v>
      </c>
      <c r="L185" s="322">
        <v>6695000</v>
      </c>
      <c r="M185" s="51" t="s">
        <v>828</v>
      </c>
    </row>
    <row r="186" spans="2:13" ht="14.4" x14ac:dyDescent="0.3">
      <c r="B186" s="47">
        <v>44051</v>
      </c>
      <c r="C186" s="164" t="s">
        <v>984</v>
      </c>
      <c r="D186" s="162" t="s">
        <v>31</v>
      </c>
      <c r="E186" s="162" t="s">
        <v>1142</v>
      </c>
      <c r="F186" s="162"/>
      <c r="G186" s="163" t="s">
        <v>301</v>
      </c>
      <c r="H186" s="163" t="s">
        <v>32</v>
      </c>
      <c r="I186" s="164" t="s">
        <v>97</v>
      </c>
      <c r="J186" s="324">
        <v>44053</v>
      </c>
      <c r="K186" s="315" t="s">
        <v>33</v>
      </c>
      <c r="L186" s="322">
        <v>6695000</v>
      </c>
      <c r="M186" s="51" t="s">
        <v>828</v>
      </c>
    </row>
    <row r="187" spans="2:13" ht="14.4" x14ac:dyDescent="0.3">
      <c r="B187" s="47">
        <v>44051</v>
      </c>
      <c r="C187" s="164" t="s">
        <v>979</v>
      </c>
      <c r="D187" s="162" t="s">
        <v>31</v>
      </c>
      <c r="E187" s="162" t="s">
        <v>1142</v>
      </c>
      <c r="F187" s="162" t="s">
        <v>980</v>
      </c>
      <c r="G187" s="163" t="s">
        <v>301</v>
      </c>
      <c r="H187" s="163" t="s">
        <v>32</v>
      </c>
      <c r="I187" s="164" t="s">
        <v>97</v>
      </c>
      <c r="J187" s="324">
        <v>44053</v>
      </c>
      <c r="K187" s="315" t="s">
        <v>33</v>
      </c>
      <c r="L187" s="322">
        <v>7004000</v>
      </c>
      <c r="M187" s="51" t="s">
        <v>828</v>
      </c>
    </row>
    <row r="188" spans="2:13" ht="14.4" x14ac:dyDescent="0.3">
      <c r="B188" s="47">
        <v>44056</v>
      </c>
      <c r="C188" s="164" t="s">
        <v>1042</v>
      </c>
      <c r="D188" s="162" t="s">
        <v>31</v>
      </c>
      <c r="E188" s="162" t="s">
        <v>1145</v>
      </c>
      <c r="F188" s="162" t="s">
        <v>1043</v>
      </c>
      <c r="G188" s="163" t="s">
        <v>1044</v>
      </c>
      <c r="H188" s="163" t="s">
        <v>32</v>
      </c>
      <c r="I188" s="164" t="s">
        <v>97</v>
      </c>
      <c r="J188" s="324">
        <v>44057</v>
      </c>
      <c r="K188" s="315" t="s">
        <v>33</v>
      </c>
      <c r="L188" s="322">
        <v>6970000</v>
      </c>
      <c r="M188" s="51" t="s">
        <v>828</v>
      </c>
    </row>
    <row r="189" spans="2:13" ht="14.4" x14ac:dyDescent="0.3">
      <c r="B189" s="47">
        <v>44056</v>
      </c>
      <c r="C189" s="164" t="s">
        <v>1045</v>
      </c>
      <c r="D189" s="162" t="s">
        <v>31</v>
      </c>
      <c r="E189" s="162" t="s">
        <v>1145</v>
      </c>
      <c r="F189" s="162" t="s">
        <v>1043</v>
      </c>
      <c r="G189" s="163" t="s">
        <v>1044</v>
      </c>
      <c r="H189" s="163" t="s">
        <v>32</v>
      </c>
      <c r="I189" s="164" t="s">
        <v>97</v>
      </c>
      <c r="J189" s="324">
        <v>44057</v>
      </c>
      <c r="K189" s="315" t="s">
        <v>33</v>
      </c>
      <c r="L189" s="322">
        <v>6970000</v>
      </c>
      <c r="M189" s="51" t="s">
        <v>828</v>
      </c>
    </row>
    <row r="190" spans="2:13" ht="14.4" x14ac:dyDescent="0.3">
      <c r="B190" s="47">
        <v>44056</v>
      </c>
      <c r="C190" s="164" t="s">
        <v>1046</v>
      </c>
      <c r="D190" s="162" t="s">
        <v>31</v>
      </c>
      <c r="E190" s="162" t="s">
        <v>1145</v>
      </c>
      <c r="F190" s="162" t="s">
        <v>1047</v>
      </c>
      <c r="G190" s="163" t="s">
        <v>116</v>
      </c>
      <c r="H190" s="163" t="s">
        <v>1048</v>
      </c>
      <c r="I190" s="164" t="s">
        <v>81</v>
      </c>
      <c r="J190" s="324" t="s">
        <v>1049</v>
      </c>
      <c r="K190" s="315" t="s">
        <v>33</v>
      </c>
      <c r="L190" s="322">
        <v>1712390</v>
      </c>
      <c r="M190" s="51" t="s">
        <v>1019</v>
      </c>
    </row>
    <row r="191" spans="2:13" ht="14.4" x14ac:dyDescent="0.3">
      <c r="B191" s="316">
        <v>44065</v>
      </c>
      <c r="C191" s="162" t="s">
        <v>1118</v>
      </c>
      <c r="D191" s="162" t="s">
        <v>31</v>
      </c>
      <c r="E191" s="162" t="s">
        <v>1145</v>
      </c>
      <c r="F191" s="162" t="s">
        <v>1043</v>
      </c>
      <c r="G191" s="163" t="s">
        <v>826</v>
      </c>
      <c r="H191" s="163" t="s">
        <v>1119</v>
      </c>
      <c r="I191" s="162" t="s">
        <v>85</v>
      </c>
      <c r="J191" s="163">
        <v>44066</v>
      </c>
      <c r="K191" s="315" t="s">
        <v>33</v>
      </c>
      <c r="L191" s="322">
        <v>3200000</v>
      </c>
      <c r="M191" s="320" t="s">
        <v>828</v>
      </c>
    </row>
    <row r="192" spans="2:13" x14ac:dyDescent="0.3">
      <c r="L192" s="325">
        <f>SUM(L2:L191)</f>
        <v>1220314780</v>
      </c>
    </row>
  </sheetData>
  <autoFilter ref="B1:M192">
    <sortState ref="B2:M194">
      <sortCondition ref="E1:E194"/>
    </sortState>
  </autoFilter>
  <dataValidations count="7">
    <dataValidation allowBlank="1" showInputMessage="1" showErrorMessage="1" prompt="Подробные сведения о расходах приведены в таблице в этом листе. Гиперссылки для перехода к сводному листу и листу советов находятся в ячейках D1 и E1 соответственно." sqref="A1:C1"/>
    <dataValidation allowBlank="1" showInputMessage="1" showErrorMessage="1" prompt="Гиперссылка для перехода к сводному листу" sqref="D1"/>
    <dataValidation allowBlank="1" showInputMessage="1" showErrorMessage="1" prompt="Укажите дату расхода в этом столбце." sqref="A2"/>
    <dataValidation allowBlank="1" showInputMessage="1" showErrorMessage="1" prompt="Введите номер заказа на покупку в этом столбце." sqref="B2"/>
    <dataValidation type="custom" errorStyle="warning" allowBlank="1" showInputMessage="1" showErrorMessage="1" error="Чтобы добавить этот пункт расходов в сводный лист, необходимо указать дату за август." sqref="A3:A104">
      <formula1>MONTH($A3)=8</formula1>
    </dataValidation>
    <dataValidation type="date" allowBlank="1" showInputMessage="1" showErrorMessage="1" sqref="G2:G153">
      <formula1>42736</formula1>
      <formula2>47848</formula2>
    </dataValidation>
    <dataValidation type="date" allowBlank="1" showInputMessage="1" showErrorMessage="1" sqref="H2:H153">
      <formula1>43101</formula1>
      <formula2>47848</formula2>
    </dataValidation>
  </dataValidations>
  <printOptions horizontalCentered="1"/>
  <pageMargins left="0.7" right="0.7" top="0.75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'C:\Users\Khojaka\Downloads\Telegram Desktop\[NEW Visa_Kont Akfa — копия1.xlsx]Ma''lumotlarBazasi'!#REF!</xm:f>
          </x14:formula1>
          <xm:sqref>J2:J153 F2:F153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7</vt:i4>
      </vt:variant>
    </vt:vector>
  </HeadingPairs>
  <TitlesOfParts>
    <vt:vector size="20" baseType="lpstr">
      <vt:lpstr>сводка</vt:lpstr>
      <vt:lpstr>янв</vt:lpstr>
      <vt:lpstr>фев</vt:lpstr>
      <vt:lpstr>мар</vt:lpstr>
      <vt:lpstr>апр</vt:lpstr>
      <vt:lpstr>май</vt:lpstr>
      <vt:lpstr>июн</vt:lpstr>
      <vt:lpstr>июл</vt:lpstr>
      <vt:lpstr>авг</vt:lpstr>
      <vt:lpstr>сен</vt:lpstr>
      <vt:lpstr>окт</vt:lpstr>
      <vt:lpstr>ноя</vt:lpstr>
      <vt:lpstr>дек</vt:lpstr>
      <vt:lpstr>авг!Заголовки_для_печати</vt:lpstr>
      <vt:lpstr>дек!Заголовки_для_печати</vt:lpstr>
      <vt:lpstr>ноя!Заголовки_для_печати</vt:lpstr>
      <vt:lpstr>окт!Заголовки_для_печати</vt:lpstr>
      <vt:lpstr>сводка!Заголовки_для_печати</vt:lpstr>
      <vt:lpstr>ЗаголовокСтолбца2</vt:lpstr>
      <vt:lpstr>КатегорииРасходов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Пользователь Windows</dc:creator>
  <cp:lastModifiedBy>Пользователь</cp:lastModifiedBy>
  <dcterms:created xsi:type="dcterms:W3CDTF">2016-09-19T01:00:44Z</dcterms:created>
  <dcterms:modified xsi:type="dcterms:W3CDTF">2020-11-21T07:51:33Z</dcterms:modified>
</cp:coreProperties>
</file>